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1025"/>
  </bookViews>
  <sheets>
    <sheet name="Introduction" sheetId="1" r:id="rId1"/>
    <sheet name="CSCI" sheetId="42" r:id="rId2"/>
    <sheet name="CSCR" sheetId="3" r:id="rId3"/>
    <sheet name="Balance Sheet" sheetId="44" r:id="rId4"/>
    <sheet name="CSCF" sheetId="45" r:id="rId5"/>
    <sheet name="Accounting policies 1" sheetId="6" r:id="rId6"/>
    <sheet name="Accounting policies 2" sheetId="8" r:id="rId7"/>
    <sheet name="Accounting policies 3" sheetId="10" r:id="rId8"/>
    <sheet name="Accounting policies 4" sheetId="11" r:id="rId9"/>
    <sheet name="Accounting policies 5" sheetId="12" r:id="rId10"/>
    <sheet name="Note 1 -6" sheetId="13" r:id="rId11"/>
    <sheet name="Note 7" sheetId="14" r:id="rId12"/>
    <sheet name="Note 7 cont." sheetId="15" r:id="rId13"/>
    <sheet name="Notes 8 -11" sheetId="16" r:id="rId14"/>
    <sheet name="Note 12" sheetId="19" r:id="rId15"/>
    <sheet name="Note 13" sheetId="20" r:id="rId16"/>
    <sheet name="Note 14" sheetId="21" r:id="rId17"/>
    <sheet name="Note 15-16" sheetId="22" r:id="rId18"/>
    <sheet name="Notes 17-18" sheetId="23" r:id="rId19"/>
    <sheet name="Note 19 - 22" sheetId="24" r:id="rId20"/>
    <sheet name="Notes 23 &amp; 24" sheetId="25" r:id="rId21"/>
    <sheet name="Note 25" sheetId="26" r:id="rId22"/>
    <sheet name="Note 26 &amp; 27" sheetId="27" r:id="rId23"/>
    <sheet name="Notes 28 - 31" sheetId="28" r:id="rId24"/>
    <sheet name="Note 32 &amp; 33" sheetId="31" r:id="rId25"/>
    <sheet name="Pension note" sheetId="32" r:id="rId26"/>
    <sheet name="Pension note (cont'd)" sheetId="33" r:id="rId27"/>
    <sheet name="Pension note (cont'd 1.1)" sheetId="34" r:id="rId28"/>
    <sheet name="Pension note (cont'd 2)" sheetId="35" r:id="rId29"/>
    <sheet name="Pension note (cont'd 3)" sheetId="36" r:id="rId30"/>
    <sheet name="Pension note (cont'd 4)" sheetId="37" r:id="rId31"/>
    <sheet name="Pension note (cont'd 5)" sheetId="38" r:id="rId32"/>
    <sheet name="Pension note (cont'd 6)" sheetId="39" r:id="rId33"/>
    <sheet name="Note 36 (simple)" sheetId="48" r:id="rId34"/>
    <sheet name="Note 36 (detailed)" sheetId="40" r:id="rId35"/>
    <sheet name="Note 36 (detailed) cont'd" sheetId="41" r:id="rId36"/>
  </sheets>
  <definedNames>
    <definedName name="_xlnm.Print_Area" localSheetId="5">'Accounting policies 1'!$A$1:$O$78</definedName>
    <definedName name="_xlnm.Print_Area" localSheetId="6">'Accounting policies 2'!$A$1:$O$76</definedName>
    <definedName name="_xlnm.Print_Area" localSheetId="7">'Accounting policies 3'!$A$1:$O$79</definedName>
    <definedName name="_xlnm.Print_Area" localSheetId="8">'Accounting policies 4'!$A$1:$O$72</definedName>
    <definedName name="_xlnm.Print_Area" localSheetId="9">'Accounting policies 5'!$A$1:$O$76</definedName>
    <definedName name="_xlnm.Print_Area" localSheetId="3">'Balance Sheet'!$A$1:$Q$58</definedName>
    <definedName name="_xlnm.Print_Area" localSheetId="4">CSCF!$A$1:$J$59</definedName>
    <definedName name="_xlnm.Print_Area" localSheetId="1">CSCI!$A$1:$I$66</definedName>
    <definedName name="_xlnm.Print_Area" localSheetId="2">CSCR!$A$1:$Q$52</definedName>
    <definedName name="_xlnm.Print_Area" localSheetId="14">'Note 12'!$A$1:$R$81</definedName>
    <definedName name="_xlnm.Print_Area" localSheetId="15">'Note 13'!$A$1:$K$28</definedName>
    <definedName name="_xlnm.Print_Area" localSheetId="17">'Note 15-16'!$A$1:$L$58</definedName>
    <definedName name="_xlnm.Print_Area" localSheetId="19">'Note 19 - 22'!$A$1:$T$82</definedName>
    <definedName name="_xlnm.Print_Area" localSheetId="21">'Note 25'!$A$1:$L$61</definedName>
    <definedName name="_xlnm.Print_Area" localSheetId="22">'Note 26 &amp; 27'!$A$1:$K$49</definedName>
    <definedName name="_xlnm.Print_Area" localSheetId="24">'Note 32 &amp; 33'!$A$1:$Q$69</definedName>
    <definedName name="_xlnm.Print_Area" localSheetId="34">'Note 36 (detailed)'!$A$1:$P$75</definedName>
    <definedName name="_xlnm.Print_Area" localSheetId="33">'Note 36 (simple)'!$A$1:$N$58</definedName>
    <definedName name="_xlnm.Print_Area" localSheetId="11">'Note 7'!$A$1:$K$63</definedName>
    <definedName name="_xlnm.Print_Area" localSheetId="12">'Note 7 cont.'!$A$1:$M$27</definedName>
    <definedName name="_xlnm.Print_Area" localSheetId="18">'Notes 17-18'!$A$1:$X$49</definedName>
    <definedName name="_xlnm.Print_Area" localSheetId="20">'Notes 23 &amp; 24'!$A$1:$V$90</definedName>
    <definedName name="_xlnm.Print_Area" localSheetId="23">'Notes 28 - 31'!$A$1:$S$51</definedName>
    <definedName name="_xlnm.Print_Area" localSheetId="13">'Notes 8 -11'!$A$1:$H$78</definedName>
    <definedName name="_xlnm.Print_Area" localSheetId="25">'Pension note'!$A$1:$L$50</definedName>
    <definedName name="_xlnm.Print_Area" localSheetId="27">'Pension note (cont''d 1.1)'!$A$1:$L$37</definedName>
    <definedName name="_xlnm.Print_Area" localSheetId="28">'Pension note (cont''d 2)'!$A$1:$P$67</definedName>
    <definedName name="_xlnm.Print_Area" localSheetId="29">'Pension note (cont''d 3)'!$A$1:$J$54</definedName>
    <definedName name="_xlnm.Print_Area" localSheetId="30">'Pension note (cont''d 4)'!$A$1:$J$59</definedName>
    <definedName name="_xlnm.Print_Area" localSheetId="31">'Pension note (cont''d 5)'!$A$1:$K$47</definedName>
    <definedName name="_xlnm.Print_Area" localSheetId="32">'Pension note (cont''d 6)'!$A$1:$L$52</definedName>
    <definedName name="_xlnm.Print_Area" localSheetId="26">'Pension note (cont''d)'!$A$1:$K$59</definedName>
    <definedName name="Z_59CC4FBA_3582_4D11_A4BD_9F0A1EF20B5D_.wvu.Cols" localSheetId="1" hidden="1">CSCI!$C:$C</definedName>
    <definedName name="Z_59CC4FBA_3582_4D11_A4BD_9F0A1EF20B5D_.wvu.Cols" localSheetId="19" hidden="1">'Note 19 - 22'!$R:$R</definedName>
    <definedName name="Z_59CC4FBA_3582_4D11_A4BD_9F0A1EF20B5D_.wvu.Cols" localSheetId="20" hidden="1">'Notes 23 &amp; 24'!$U:$U</definedName>
    <definedName name="Z_59CC4FBA_3582_4D11_A4BD_9F0A1EF20B5D_.wvu.Cols" localSheetId="23" hidden="1">'Notes 28 - 31'!#REF!</definedName>
    <definedName name="Z_59CC4FBA_3582_4D11_A4BD_9F0A1EF20B5D_.wvu.PrintArea" localSheetId="3" hidden="1">'Balance Sheet'!$A$1:$Q$57</definedName>
    <definedName name="Z_59CC4FBA_3582_4D11_A4BD_9F0A1EF20B5D_.wvu.PrintArea" localSheetId="4" hidden="1">CSCF!$A$1:$O$58</definedName>
    <definedName name="Z_59CC4FBA_3582_4D11_A4BD_9F0A1EF20B5D_.wvu.PrintArea" localSheetId="1" hidden="1">CSCI!$A$1:$H$45</definedName>
    <definedName name="Z_59CC4FBA_3582_4D11_A4BD_9F0A1EF20B5D_.wvu.PrintArea" localSheetId="20" hidden="1">'Notes 23 &amp; 24'!$A$1:$T$85</definedName>
    <definedName name="Z_59CC4FBA_3582_4D11_A4BD_9F0A1EF20B5D_.wvu.PrintArea" localSheetId="23" hidden="1">'Notes 28 - 31'!$A$1:$R$58</definedName>
    <definedName name="Z_A2BB4A8A_5545_4827_8235_CD46E6EF2C04_.wvu.Cols" localSheetId="1" hidden="1">CSCI!$C:$C</definedName>
    <definedName name="Z_A2BB4A8A_5545_4827_8235_CD46E6EF2C04_.wvu.Cols" localSheetId="19" hidden="1">'Note 19 - 22'!$R:$R</definedName>
    <definedName name="Z_A2BB4A8A_5545_4827_8235_CD46E6EF2C04_.wvu.PrintArea" localSheetId="3" hidden="1">'Balance Sheet'!$A$1:$Q$57</definedName>
    <definedName name="Z_A2BB4A8A_5545_4827_8235_CD46E6EF2C04_.wvu.PrintArea" localSheetId="4" hidden="1">CSCF!$A$1:$O$58</definedName>
    <definedName name="Z_A2BB4A8A_5545_4827_8235_CD46E6EF2C04_.wvu.PrintArea" localSheetId="1" hidden="1">CSCI!$A$1:$H$45</definedName>
    <definedName name="Z_A2BB4A8A_5545_4827_8235_CD46E6EF2C04_.wvu.PrintArea" localSheetId="19" hidden="1">'Note 19 - 22'!$A$1:$T$65</definedName>
    <definedName name="Z_A2BB4A8A_5545_4827_8235_CD46E6EF2C04_.wvu.PrintArea" localSheetId="24" hidden="1">'Note 32 &amp; 33'!$A$1:$S$38</definedName>
    <definedName name="Z_A2BB4A8A_5545_4827_8235_CD46E6EF2C04_.wvu.PrintArea" localSheetId="20" hidden="1">'Notes 23 &amp; 24'!$A$1:$T$84</definedName>
    <definedName name="Z_A2BB4A8A_5545_4827_8235_CD46E6EF2C04_.wvu.PrintArea" localSheetId="23" hidden="1">'Notes 28 - 31'!$A$1:$R$58</definedName>
    <definedName name="Z_A2BB4A8A_5545_4827_8235_CD46E6EF2C04_.wvu.PrintArea" localSheetId="13" hidden="1">'Notes 8 -11'!$A$1:$G$53</definedName>
  </definedNames>
  <calcPr calcId="145621"/>
</workbook>
</file>

<file path=xl/calcChain.xml><?xml version="1.0" encoding="utf-8"?>
<calcChain xmlns="http://schemas.openxmlformats.org/spreadsheetml/2006/main">
  <c r="O78" i="24" l="1"/>
  <c r="O77" i="24"/>
  <c r="M78" i="24"/>
  <c r="M77" i="24"/>
  <c r="H35" i="45"/>
  <c r="H18" i="45"/>
  <c r="I36" i="3" l="1"/>
  <c r="F54" i="42"/>
  <c r="I20" i="3"/>
  <c r="F57" i="42"/>
  <c r="J29" i="45" l="1"/>
  <c r="J35" i="45" s="1"/>
  <c r="I55" i="42" l="1"/>
  <c r="H55" i="42"/>
  <c r="H22" i="27"/>
  <c r="H24" i="27" s="1"/>
  <c r="T40" i="24" l="1"/>
  <c r="Q40" i="24"/>
  <c r="O40" i="24"/>
  <c r="M40" i="24"/>
  <c r="O25" i="3" l="1"/>
  <c r="H43" i="48" l="1"/>
  <c r="H45" i="48" s="1"/>
  <c r="L25" i="48"/>
  <c r="L27" i="48" s="1"/>
  <c r="J25" i="48"/>
  <c r="J27" i="48" s="1"/>
  <c r="F43" i="48"/>
  <c r="F45" i="48" s="1"/>
  <c r="H25" i="48" l="1"/>
  <c r="H27" i="48" s="1"/>
  <c r="F25" i="48"/>
  <c r="F27" i="48" s="1"/>
  <c r="K14" i="26" l="1"/>
  <c r="J28" i="45"/>
  <c r="F77" i="19" l="1"/>
  <c r="D77" i="19"/>
  <c r="K47" i="13"/>
  <c r="J47" i="13"/>
  <c r="I47" i="13"/>
  <c r="H47" i="13"/>
  <c r="H52" i="41"/>
  <c r="J52" i="41" s="1"/>
  <c r="H51" i="41"/>
  <c r="J51" i="41" s="1"/>
  <c r="H50" i="41"/>
  <c r="J50" i="41" s="1"/>
  <c r="H46" i="41"/>
  <c r="J46" i="41" s="1"/>
  <c r="H42" i="41"/>
  <c r="J42" i="41" s="1"/>
  <c r="H38" i="41"/>
  <c r="J38" i="41" s="1"/>
  <c r="H37" i="41"/>
  <c r="J37" i="41" s="1"/>
  <c r="H36" i="41"/>
  <c r="J36" i="41" s="1"/>
  <c r="H35" i="41"/>
  <c r="J35" i="41" s="1"/>
  <c r="F33" i="41"/>
  <c r="D33" i="41"/>
  <c r="H31" i="41"/>
  <c r="J31" i="41" s="1"/>
  <c r="H30" i="41"/>
  <c r="J30" i="41" s="1"/>
  <c r="H29" i="41"/>
  <c r="J29" i="41" s="1"/>
  <c r="H28" i="41"/>
  <c r="J28" i="41" s="1"/>
  <c r="H27" i="41"/>
  <c r="J27" i="41" s="1"/>
  <c r="H21" i="41"/>
  <c r="J21" i="41" s="1"/>
  <c r="H17" i="41"/>
  <c r="J17" i="41" s="1"/>
  <c r="F15" i="41"/>
  <c r="F19" i="41" s="1"/>
  <c r="F23" i="41" s="1"/>
  <c r="F40" i="41" s="1"/>
  <c r="F44" i="41" s="1"/>
  <c r="F48" i="41" s="1"/>
  <c r="F54" i="41" s="1"/>
  <c r="D15" i="41"/>
  <c r="D19" i="41" s="1"/>
  <c r="D23" i="41" s="1"/>
  <c r="D40" i="41" s="1"/>
  <c r="D44" i="41" s="1"/>
  <c r="D48" i="41" s="1"/>
  <c r="D54" i="41" s="1"/>
  <c r="H13" i="41"/>
  <c r="J13" i="41" s="1"/>
  <c r="H12" i="41"/>
  <c r="J12" i="41" s="1"/>
  <c r="H11" i="41"/>
  <c r="J11" i="41" s="1"/>
  <c r="H10" i="41"/>
  <c r="J10" i="41" s="1"/>
  <c r="H9" i="41"/>
  <c r="H15" i="41" s="1"/>
  <c r="H19" i="41" s="1"/>
  <c r="H23" i="41" s="1"/>
  <c r="P58" i="40"/>
  <c r="J58" i="40"/>
  <c r="J9" i="41" l="1"/>
  <c r="J33" i="41"/>
  <c r="J15" i="41"/>
  <c r="J19" i="41" s="1"/>
  <c r="J23" i="41" s="1"/>
  <c r="H33" i="41"/>
  <c r="H40" i="41" s="1"/>
  <c r="H44" i="41" s="1"/>
  <c r="H48" i="41" s="1"/>
  <c r="H54" i="41" s="1"/>
  <c r="H28" i="45"/>
  <c r="H52" i="45"/>
  <c r="H51" i="45"/>
  <c r="H39" i="45"/>
  <c r="H23" i="45"/>
  <c r="H22" i="45"/>
  <c r="H40" i="45"/>
  <c r="J40" i="41" l="1"/>
  <c r="J44" i="41" s="1"/>
  <c r="J48" i="41" s="1"/>
  <c r="J54" i="41" s="1"/>
  <c r="F10" i="16"/>
  <c r="E10" i="16"/>
  <c r="H47" i="45" s="1"/>
  <c r="J18" i="26" l="1"/>
  <c r="J17" i="26"/>
  <c r="J22" i="26" s="1"/>
  <c r="I17" i="26"/>
  <c r="H17" i="26"/>
  <c r="J19" i="26"/>
  <c r="I19" i="26"/>
  <c r="H19" i="26"/>
  <c r="I16" i="27"/>
  <c r="K39" i="22"/>
  <c r="K28" i="22"/>
  <c r="T60" i="24"/>
  <c r="Q60" i="24"/>
  <c r="O60" i="24"/>
  <c r="M60" i="24"/>
  <c r="H29" i="26" l="1"/>
  <c r="K70" i="13"/>
  <c r="J70" i="13"/>
  <c r="I70" i="13"/>
  <c r="H70" i="13"/>
  <c r="T61" i="24"/>
  <c r="P17" i="25"/>
  <c r="O33" i="44" s="1"/>
  <c r="Q61" i="24"/>
  <c r="J15" i="27"/>
  <c r="I13" i="26"/>
  <c r="K13" i="26" s="1"/>
  <c r="I29" i="26"/>
  <c r="H20" i="26"/>
  <c r="H22" i="26" s="1"/>
  <c r="I58" i="13" l="1"/>
  <c r="K29" i="26"/>
  <c r="H28" i="26"/>
  <c r="H58" i="13"/>
  <c r="H29" i="45" s="1"/>
  <c r="V69" i="25"/>
  <c r="R70" i="25"/>
  <c r="V70" i="25" s="1"/>
  <c r="P69" i="25"/>
  <c r="R58" i="25"/>
  <c r="V57" i="25"/>
  <c r="P57" i="25"/>
  <c r="L40" i="25"/>
  <c r="L44" i="25" s="1"/>
  <c r="R29" i="25"/>
  <c r="P29" i="25"/>
  <c r="N29" i="25"/>
  <c r="L29" i="25"/>
  <c r="R24" i="25"/>
  <c r="P24" i="25"/>
  <c r="N24" i="25"/>
  <c r="L23" i="25"/>
  <c r="L22" i="25"/>
  <c r="L21" i="25"/>
  <c r="R20" i="25"/>
  <c r="P20" i="25"/>
  <c r="N20" i="25"/>
  <c r="L20" i="25"/>
  <c r="R17" i="25"/>
  <c r="Q33" i="44" s="1"/>
  <c r="L11" i="25"/>
  <c r="K15" i="14"/>
  <c r="J15" i="14"/>
  <c r="I15" i="14"/>
  <c r="H15" i="14"/>
  <c r="H11" i="13"/>
  <c r="I11" i="13"/>
  <c r="I15" i="13" s="1"/>
  <c r="K15" i="13"/>
  <c r="J45" i="27"/>
  <c r="H45" i="27"/>
  <c r="K78" i="13"/>
  <c r="J78" i="13"/>
  <c r="J27" i="45" s="1"/>
  <c r="J49" i="45" s="1"/>
  <c r="H60" i="13"/>
  <c r="H48" i="45"/>
  <c r="H12" i="45"/>
  <c r="H13" i="45"/>
  <c r="J11" i="45"/>
  <c r="J9" i="45"/>
  <c r="Q10" i="44"/>
  <c r="O10" i="44"/>
  <c r="O50" i="3"/>
  <c r="M47" i="3"/>
  <c r="Q47" i="3" s="1"/>
  <c r="O41" i="3"/>
  <c r="O43" i="3" s="1"/>
  <c r="K41" i="3"/>
  <c r="K43" i="3" s="1"/>
  <c r="Q39" i="3"/>
  <c r="Q38" i="3"/>
  <c r="I37" i="3"/>
  <c r="M37" i="3" s="1"/>
  <c r="Q37" i="3" s="1"/>
  <c r="G34" i="3"/>
  <c r="M22" i="3"/>
  <c r="Q22" i="3" s="1"/>
  <c r="O16" i="3"/>
  <c r="O18" i="3" s="1"/>
  <c r="K16" i="3"/>
  <c r="K18" i="3" s="1"/>
  <c r="M13" i="3"/>
  <c r="Q13" i="3" s="1"/>
  <c r="I12" i="3"/>
  <c r="M12" i="3" s="1"/>
  <c r="Q12" i="3" s="1"/>
  <c r="H37" i="42"/>
  <c r="F37" i="42"/>
  <c r="H26" i="42"/>
  <c r="F26" i="42"/>
  <c r="D25" i="42"/>
  <c r="D19" i="42"/>
  <c r="D15" i="42"/>
  <c r="D14" i="42"/>
  <c r="D13" i="42"/>
  <c r="D12" i="42"/>
  <c r="D11" i="42"/>
  <c r="J18" i="45"/>
  <c r="J53" i="45"/>
  <c r="M23" i="44"/>
  <c r="Q23" i="44"/>
  <c r="O46" i="44"/>
  <c r="Q46" i="44"/>
  <c r="I28" i="42"/>
  <c r="F47" i="42"/>
  <c r="I21" i="3" s="1"/>
  <c r="I47" i="42"/>
  <c r="P67" i="40"/>
  <c r="J67" i="40"/>
  <c r="N66" i="40"/>
  <c r="N68" i="40" s="1"/>
  <c r="L66" i="40"/>
  <c r="L68" i="40" s="1"/>
  <c r="P68" i="40" s="1"/>
  <c r="H66" i="40"/>
  <c r="H68" i="40" s="1"/>
  <c r="F66" i="40"/>
  <c r="F68" i="40" s="1"/>
  <c r="P65" i="40"/>
  <c r="J65" i="40"/>
  <c r="P64" i="40"/>
  <c r="J64" i="40"/>
  <c r="P62" i="40"/>
  <c r="J62" i="40"/>
  <c r="P61" i="40"/>
  <c r="J61" i="40"/>
  <c r="P53" i="40"/>
  <c r="J53" i="40"/>
  <c r="P51" i="40"/>
  <c r="J51" i="40"/>
  <c r="P49" i="40"/>
  <c r="J49" i="40"/>
  <c r="P45" i="40"/>
  <c r="J45" i="40"/>
  <c r="P39" i="40"/>
  <c r="J39" i="40"/>
  <c r="P38" i="40"/>
  <c r="J38" i="40"/>
  <c r="P37" i="40"/>
  <c r="J37" i="40"/>
  <c r="N35" i="40"/>
  <c r="N41" i="40" s="1"/>
  <c r="L35" i="40"/>
  <c r="L41" i="40" s="1"/>
  <c r="H35" i="40"/>
  <c r="H41" i="40" s="1"/>
  <c r="F35" i="40"/>
  <c r="F41" i="40" s="1"/>
  <c r="J41" i="40" s="1"/>
  <c r="P34" i="40"/>
  <c r="J34" i="40"/>
  <c r="P33" i="40"/>
  <c r="J33" i="40"/>
  <c r="P32" i="40"/>
  <c r="J32" i="40"/>
  <c r="P31" i="40"/>
  <c r="J31" i="40"/>
  <c r="N26" i="40"/>
  <c r="L26" i="40"/>
  <c r="L43" i="40" s="1"/>
  <c r="H26" i="40"/>
  <c r="H43" i="40" s="1"/>
  <c r="H55" i="40" s="1"/>
  <c r="F26" i="40"/>
  <c r="F43" i="40" s="1"/>
  <c r="P25" i="40"/>
  <c r="J25" i="40"/>
  <c r="P24" i="40"/>
  <c r="J24" i="40"/>
  <c r="P23" i="40"/>
  <c r="J23" i="40"/>
  <c r="P22" i="40"/>
  <c r="J22" i="40"/>
  <c r="P21" i="40"/>
  <c r="J21" i="40"/>
  <c r="P20" i="40"/>
  <c r="J20" i="40"/>
  <c r="P19" i="40"/>
  <c r="J19" i="40"/>
  <c r="O61" i="31"/>
  <c r="M61" i="31"/>
  <c r="K61" i="31"/>
  <c r="I61" i="31"/>
  <c r="Q60" i="31"/>
  <c r="Q58" i="31"/>
  <c r="Q61" i="31" s="1"/>
  <c r="Q55" i="31"/>
  <c r="R43" i="28"/>
  <c r="N43" i="28"/>
  <c r="L43" i="28"/>
  <c r="J43" i="28"/>
  <c r="P42" i="28"/>
  <c r="P41" i="28"/>
  <c r="P40" i="28"/>
  <c r="P37" i="28"/>
  <c r="R25" i="28"/>
  <c r="P25" i="28"/>
  <c r="N25" i="28"/>
  <c r="L25" i="28"/>
  <c r="R14" i="28"/>
  <c r="P14" i="28"/>
  <c r="N14" i="28"/>
  <c r="L14" i="28"/>
  <c r="J44" i="27"/>
  <c r="H44" i="27"/>
  <c r="K32" i="27"/>
  <c r="J32" i="27"/>
  <c r="K19" i="27"/>
  <c r="G14" i="3" s="1"/>
  <c r="I19" i="27"/>
  <c r="I22" i="27" s="1"/>
  <c r="J18" i="27"/>
  <c r="J17" i="27"/>
  <c r="K16" i="27"/>
  <c r="K22" i="27" s="1"/>
  <c r="J16" i="27"/>
  <c r="H79" i="13" s="1"/>
  <c r="I13" i="27"/>
  <c r="I24" i="27" s="1"/>
  <c r="P43" i="28" l="1"/>
  <c r="K24" i="27"/>
  <c r="H46" i="27"/>
  <c r="H58" i="45" s="1"/>
  <c r="J59" i="45" s="1"/>
  <c r="J35" i="40"/>
  <c r="O52" i="3"/>
  <c r="P35" i="40"/>
  <c r="N43" i="40"/>
  <c r="N55" i="40" s="1"/>
  <c r="P41" i="40"/>
  <c r="J68" i="40"/>
  <c r="L17" i="25"/>
  <c r="K33" i="44" s="1"/>
  <c r="H53" i="45"/>
  <c r="J46" i="27"/>
  <c r="I45" i="27"/>
  <c r="N25" i="25"/>
  <c r="Q11" i="44"/>
  <c r="O11" i="44"/>
  <c r="P25" i="25"/>
  <c r="R25" i="25"/>
  <c r="N11" i="25"/>
  <c r="N17" i="25" s="1"/>
  <c r="M33" i="44" s="1"/>
  <c r="L24" i="25"/>
  <c r="L25" i="25" s="1"/>
  <c r="G47" i="42"/>
  <c r="I46" i="3" s="1"/>
  <c r="I79" i="13"/>
  <c r="K79" i="13"/>
  <c r="K81" i="13" s="1"/>
  <c r="J79" i="13"/>
  <c r="J81" i="13" s="1"/>
  <c r="O27" i="3"/>
  <c r="K49" i="44" s="1"/>
  <c r="F55" i="40"/>
  <c r="J55" i="40" s="1"/>
  <c r="J43" i="40"/>
  <c r="L55" i="40"/>
  <c r="J26" i="40"/>
  <c r="P26" i="40"/>
  <c r="J66" i="40"/>
  <c r="P66" i="40"/>
  <c r="J19" i="27"/>
  <c r="J22" i="27" s="1"/>
  <c r="G23" i="3" l="1"/>
  <c r="J13" i="27"/>
  <c r="J24" i="27" s="1"/>
  <c r="M44" i="44" s="1"/>
  <c r="O44" i="44"/>
  <c r="H53" i="42" s="1"/>
  <c r="G11" i="3" s="1"/>
  <c r="G16" i="3" s="1"/>
  <c r="G18" i="3" s="1"/>
  <c r="Q44" i="44"/>
  <c r="I53" i="42" s="1"/>
  <c r="G36" i="3" s="1"/>
  <c r="G41" i="3" s="1"/>
  <c r="G43" i="3" s="1"/>
  <c r="I46" i="27"/>
  <c r="I44" i="27" s="1"/>
  <c r="K44" i="44"/>
  <c r="P55" i="40"/>
  <c r="P43" i="40"/>
  <c r="F53" i="42" l="1"/>
  <c r="G20" i="3" s="1"/>
  <c r="G25" i="3" s="1"/>
  <c r="G27" i="3" s="1"/>
  <c r="G48" i="3"/>
  <c r="L58" i="26"/>
  <c r="K58" i="26"/>
  <c r="J35" i="26"/>
  <c r="J34" i="26" s="1"/>
  <c r="K38" i="26"/>
  <c r="K36" i="26"/>
  <c r="I34" i="26"/>
  <c r="H34" i="26"/>
  <c r="I20" i="26"/>
  <c r="I22" i="26" s="1"/>
  <c r="L20" i="26"/>
  <c r="K19" i="26"/>
  <c r="E23" i="3" s="1"/>
  <c r="L19" i="26"/>
  <c r="K18" i="26"/>
  <c r="K17" i="26"/>
  <c r="L15" i="26"/>
  <c r="I15" i="26"/>
  <c r="I24" i="26" s="1"/>
  <c r="J15" i="26"/>
  <c r="J24" i="26" s="1"/>
  <c r="H15" i="26"/>
  <c r="H24" i="26" s="1"/>
  <c r="T71" i="25"/>
  <c r="R71" i="25"/>
  <c r="N71" i="25"/>
  <c r="L71" i="25"/>
  <c r="J71" i="25"/>
  <c r="P71" i="25" s="1"/>
  <c r="P70" i="25"/>
  <c r="V68" i="25"/>
  <c r="P68" i="25"/>
  <c r="V67" i="25"/>
  <c r="Q37" i="44" s="1"/>
  <c r="P67" i="25"/>
  <c r="T59" i="25"/>
  <c r="R59" i="25"/>
  <c r="N59" i="25"/>
  <c r="L59" i="25"/>
  <c r="J59" i="25"/>
  <c r="V58" i="25"/>
  <c r="P58" i="25"/>
  <c r="V56" i="25"/>
  <c r="P56" i="25"/>
  <c r="V55" i="25"/>
  <c r="O37" i="44" s="1"/>
  <c r="P55" i="25"/>
  <c r="T80" i="24"/>
  <c r="Q80" i="24"/>
  <c r="O80" i="24"/>
  <c r="M80" i="24"/>
  <c r="T64" i="24"/>
  <c r="Q26" i="44" s="1"/>
  <c r="Q64" i="24"/>
  <c r="O26" i="44" s="1"/>
  <c r="O64" i="24"/>
  <c r="M26" i="44" s="1"/>
  <c r="M62" i="24"/>
  <c r="M51" i="24"/>
  <c r="R42" i="24"/>
  <c r="T41" i="24"/>
  <c r="Q41" i="24"/>
  <c r="O41" i="24"/>
  <c r="M41" i="24"/>
  <c r="T30" i="24"/>
  <c r="Q21" i="44" s="1"/>
  <c r="Q30" i="24"/>
  <c r="O21" i="44" s="1"/>
  <c r="O30" i="24"/>
  <c r="M21" i="44" s="1"/>
  <c r="M30" i="24"/>
  <c r="K21" i="44" s="1"/>
  <c r="S18" i="24"/>
  <c r="R18" i="24"/>
  <c r="M18" i="24"/>
  <c r="T13" i="24"/>
  <c r="Q20" i="44" s="1"/>
  <c r="Q13" i="24"/>
  <c r="O20" i="44" s="1"/>
  <c r="O13" i="24"/>
  <c r="M20" i="44" s="1"/>
  <c r="M13" i="24"/>
  <c r="K20" i="44" s="1"/>
  <c r="S28" i="23"/>
  <c r="N28" i="23"/>
  <c r="S23" i="23"/>
  <c r="S30" i="23" s="1"/>
  <c r="O15" i="44" s="1"/>
  <c r="N23" i="23"/>
  <c r="N30" i="23" s="1"/>
  <c r="K15" i="44" s="1"/>
  <c r="L56" i="22"/>
  <c r="L31" i="22"/>
  <c r="H36" i="45" s="1"/>
  <c r="L43" i="22"/>
  <c r="L42" i="22"/>
  <c r="L41" i="22"/>
  <c r="L39" i="22"/>
  <c r="Q14" i="44" s="1"/>
  <c r="J45" i="22"/>
  <c r="K45" i="22"/>
  <c r="I45" i="22"/>
  <c r="L30" i="22"/>
  <c r="H41" i="45" s="1"/>
  <c r="L32" i="22"/>
  <c r="L28" i="22"/>
  <c r="O14" i="44" s="1"/>
  <c r="J34" i="22"/>
  <c r="K34" i="22"/>
  <c r="I34" i="22"/>
  <c r="L14" i="22"/>
  <c r="L17" i="22" s="1"/>
  <c r="H26" i="21"/>
  <c r="H27" i="21"/>
  <c r="H25" i="21"/>
  <c r="F28" i="21"/>
  <c r="G28" i="21"/>
  <c r="E28" i="21"/>
  <c r="J20" i="20"/>
  <c r="J24" i="20" s="1"/>
  <c r="I20" i="20"/>
  <c r="I24" i="20" s="1"/>
  <c r="F20" i="20"/>
  <c r="F24" i="20" s="1"/>
  <c r="G20" i="20"/>
  <c r="G24" i="20" s="1"/>
  <c r="E20" i="20"/>
  <c r="F56" i="19"/>
  <c r="H56" i="19"/>
  <c r="J56" i="19"/>
  <c r="L56" i="19"/>
  <c r="N56" i="19"/>
  <c r="P56" i="19"/>
  <c r="Q13" i="44" s="1"/>
  <c r="F52" i="19"/>
  <c r="H52" i="19"/>
  <c r="J52" i="19"/>
  <c r="L52" i="19"/>
  <c r="N52" i="19"/>
  <c r="P52" i="19"/>
  <c r="R52" i="19"/>
  <c r="D52" i="19"/>
  <c r="R39" i="19"/>
  <c r="R40" i="19"/>
  <c r="F46" i="42" s="1"/>
  <c r="R41" i="19"/>
  <c r="F42" i="19"/>
  <c r="H42" i="19"/>
  <c r="J42" i="19"/>
  <c r="L42" i="19"/>
  <c r="L54" i="19" s="1"/>
  <c r="N42" i="19"/>
  <c r="P42" i="19"/>
  <c r="D38" i="19"/>
  <c r="R38" i="19" s="1"/>
  <c r="D37" i="19"/>
  <c r="D56" i="19" s="1"/>
  <c r="R24" i="19"/>
  <c r="R25" i="19"/>
  <c r="R26" i="19"/>
  <c r="H33" i="45" s="1"/>
  <c r="F32" i="19"/>
  <c r="H32" i="19"/>
  <c r="J32" i="19"/>
  <c r="L32" i="19"/>
  <c r="N32" i="19"/>
  <c r="P32" i="19"/>
  <c r="O13" i="44" s="1"/>
  <c r="F27" i="19"/>
  <c r="H27" i="19"/>
  <c r="J27" i="19"/>
  <c r="L27" i="19"/>
  <c r="N27" i="19"/>
  <c r="P27" i="19"/>
  <c r="D23" i="19"/>
  <c r="D27" i="19" s="1"/>
  <c r="D11" i="19"/>
  <c r="P15" i="19"/>
  <c r="P19" i="19" s="1"/>
  <c r="N15" i="19"/>
  <c r="N19" i="19" s="1"/>
  <c r="L15" i="19"/>
  <c r="L19" i="19" s="1"/>
  <c r="J15" i="19"/>
  <c r="J19" i="19" s="1"/>
  <c r="H15" i="19"/>
  <c r="H19" i="19" s="1"/>
  <c r="F15" i="19"/>
  <c r="F19" i="19" s="1"/>
  <c r="D10" i="19"/>
  <c r="D15" i="19" s="1"/>
  <c r="D19" i="19" s="1"/>
  <c r="D20" i="19" s="1"/>
  <c r="G72" i="16"/>
  <c r="M8" i="44" s="1"/>
  <c r="E72" i="16"/>
  <c r="K8" i="44" s="1"/>
  <c r="G52" i="16"/>
  <c r="E52" i="16"/>
  <c r="G46" i="16"/>
  <c r="E46" i="16"/>
  <c r="F27" i="16"/>
  <c r="E27" i="16"/>
  <c r="H24" i="16"/>
  <c r="H28" i="16" s="1"/>
  <c r="G24" i="16"/>
  <c r="G28" i="16" s="1"/>
  <c r="F24" i="16"/>
  <c r="F28" i="16" s="1"/>
  <c r="E24" i="16"/>
  <c r="E28" i="16" s="1"/>
  <c r="F15" i="16"/>
  <c r="E15" i="16"/>
  <c r="H26" i="45" s="1"/>
  <c r="H11" i="16"/>
  <c r="H15" i="16" s="1"/>
  <c r="G11" i="16"/>
  <c r="O42" i="24" l="1"/>
  <c r="M22" i="44" s="1"/>
  <c r="M24" i="44" s="1"/>
  <c r="M29" i="44" s="1"/>
  <c r="O22" i="44"/>
  <c r="O24" i="44" s="1"/>
  <c r="O29" i="44" s="1"/>
  <c r="Q42" i="24"/>
  <c r="E48" i="3"/>
  <c r="Q22" i="44"/>
  <c r="T42" i="24"/>
  <c r="H36" i="42"/>
  <c r="J15" i="45" s="1"/>
  <c r="I36" i="42"/>
  <c r="L22" i="26"/>
  <c r="E14" i="3"/>
  <c r="J54" i="19"/>
  <c r="M64" i="24"/>
  <c r="K26" i="44" s="1"/>
  <c r="L24" i="26"/>
  <c r="I23" i="3"/>
  <c r="M23" i="3" s="1"/>
  <c r="Q23" i="3" s="1"/>
  <c r="K22" i="44"/>
  <c r="K24" i="44" s="1"/>
  <c r="K29" i="44" s="1"/>
  <c r="M42" i="24"/>
  <c r="I28" i="26"/>
  <c r="H42" i="45"/>
  <c r="K20" i="26"/>
  <c r="J28" i="26"/>
  <c r="V71" i="25"/>
  <c r="M37" i="44" s="1"/>
  <c r="L34" i="22"/>
  <c r="K14" i="44" s="1"/>
  <c r="H28" i="21"/>
  <c r="K10" i="44"/>
  <c r="K11" i="44" s="1"/>
  <c r="M10" i="44"/>
  <c r="M11" i="44" s="1"/>
  <c r="G15" i="16"/>
  <c r="J26" i="45" s="1"/>
  <c r="J48" i="45"/>
  <c r="P59" i="25"/>
  <c r="H19" i="45" s="1"/>
  <c r="L28" i="26"/>
  <c r="E34" i="3"/>
  <c r="F29" i="42"/>
  <c r="G29" i="42" s="1"/>
  <c r="P54" i="19"/>
  <c r="M13" i="44" s="1"/>
  <c r="H54" i="19"/>
  <c r="I78" i="13"/>
  <c r="I81" i="13" s="1"/>
  <c r="H78" i="13"/>
  <c r="N54" i="19"/>
  <c r="F54" i="19"/>
  <c r="L45" i="22"/>
  <c r="M14" i="44" s="1"/>
  <c r="Q24" i="44"/>
  <c r="Q29" i="44" s="1"/>
  <c r="V59" i="25"/>
  <c r="K37" i="44" s="1"/>
  <c r="H20" i="45" s="1"/>
  <c r="I31" i="26"/>
  <c r="E21" i="20"/>
  <c r="E24" i="20" s="1"/>
  <c r="H16" i="45"/>
  <c r="H17" i="45"/>
  <c r="H11" i="45"/>
  <c r="F28" i="42"/>
  <c r="K21" i="3"/>
  <c r="G46" i="42"/>
  <c r="K46" i="3" s="1"/>
  <c r="D30" i="19"/>
  <c r="D32" i="19"/>
  <c r="P30" i="19"/>
  <c r="K13" i="44" s="1"/>
  <c r="N30" i="19"/>
  <c r="L30" i="19"/>
  <c r="J30" i="19"/>
  <c r="H30" i="19"/>
  <c r="F30" i="19"/>
  <c r="R23" i="19"/>
  <c r="R27" i="19" s="1"/>
  <c r="D42" i="19"/>
  <c r="R37" i="19"/>
  <c r="P45" i="19"/>
  <c r="P46" i="19" s="1"/>
  <c r="N45" i="19"/>
  <c r="N46" i="19" s="1"/>
  <c r="L45" i="19"/>
  <c r="L46" i="19" s="1"/>
  <c r="J45" i="19"/>
  <c r="J46" i="19" s="1"/>
  <c r="H45" i="19"/>
  <c r="H46" i="19" s="1"/>
  <c r="F45" i="19"/>
  <c r="F46" i="19" s="1"/>
  <c r="R10" i="19"/>
  <c r="E55" i="16"/>
  <c r="F42" i="42" s="1"/>
  <c r="G55" i="16"/>
  <c r="H42" i="42" s="1"/>
  <c r="G36" i="42" l="1"/>
  <c r="F36" i="42"/>
  <c r="H15" i="45" s="1"/>
  <c r="H37" i="45" s="1"/>
  <c r="I14" i="3"/>
  <c r="M14" i="3" s="1"/>
  <c r="Q14" i="3" s="1"/>
  <c r="K22" i="26"/>
  <c r="I48" i="3"/>
  <c r="M48" i="3" s="1"/>
  <c r="Q48" i="3" s="1"/>
  <c r="H81" i="13"/>
  <c r="H27" i="45"/>
  <c r="H49" i="45" s="1"/>
  <c r="H54" i="45" s="1"/>
  <c r="J31" i="26"/>
  <c r="K28" i="26"/>
  <c r="H31" i="26"/>
  <c r="K43" i="44"/>
  <c r="L31" i="26"/>
  <c r="K15" i="26" s="1"/>
  <c r="M34" i="3"/>
  <c r="J47" i="45"/>
  <c r="J54" i="45" s="1"/>
  <c r="H29" i="42"/>
  <c r="I29" i="42" s="1"/>
  <c r="R15" i="19"/>
  <c r="R30" i="19" s="1"/>
  <c r="K12" i="44" s="1"/>
  <c r="K17" i="44" s="1"/>
  <c r="R32" i="19"/>
  <c r="O12" i="44" s="1"/>
  <c r="R56" i="19"/>
  <c r="Q12" i="44" s="1"/>
  <c r="R42" i="19"/>
  <c r="D54" i="19"/>
  <c r="D45" i="19"/>
  <c r="D46" i="19" s="1"/>
  <c r="K50" i="3"/>
  <c r="K52" i="3" s="1"/>
  <c r="M46" i="3"/>
  <c r="Q46" i="3" s="1"/>
  <c r="K25" i="3"/>
  <c r="K27" i="3" s="1"/>
  <c r="K47" i="44" s="1"/>
  <c r="M21" i="3"/>
  <c r="Q21" i="3" s="1"/>
  <c r="G28" i="42"/>
  <c r="K24" i="26" l="1"/>
  <c r="M47" i="44"/>
  <c r="G55" i="42" s="1"/>
  <c r="F55" i="42"/>
  <c r="L40" i="26"/>
  <c r="Q17" i="44"/>
  <c r="Q31" i="44" s="1"/>
  <c r="Q39" i="44" s="1"/>
  <c r="O17" i="44"/>
  <c r="O31" i="44" s="1"/>
  <c r="O39" i="44" s="1"/>
  <c r="Q34" i="3"/>
  <c r="K31" i="26"/>
  <c r="K34" i="26" s="1"/>
  <c r="K40" i="26" s="1"/>
  <c r="M43" i="44"/>
  <c r="L34" i="26"/>
  <c r="L46" i="26"/>
  <c r="O43" i="44"/>
  <c r="Q43" i="44"/>
  <c r="R54" i="19"/>
  <c r="M12" i="44" s="1"/>
  <c r="R45" i="19"/>
  <c r="R46" i="19" s="1"/>
  <c r="K41" i="14"/>
  <c r="J41" i="14"/>
  <c r="K33" i="14"/>
  <c r="J33" i="14"/>
  <c r="K23" i="14"/>
  <c r="J23" i="14"/>
  <c r="H16" i="14"/>
  <c r="F25" i="42" s="1"/>
  <c r="F31" i="42" s="1"/>
  <c r="J16" i="14"/>
  <c r="H25" i="42" s="1"/>
  <c r="H31" i="42" s="1"/>
  <c r="K13" i="14"/>
  <c r="K12" i="14"/>
  <c r="K16" i="14" s="1"/>
  <c r="I25" i="42" s="1"/>
  <c r="I31" i="42" s="1"/>
  <c r="I12" i="14"/>
  <c r="I16" i="14" s="1"/>
  <c r="G25" i="42" s="1"/>
  <c r="G31" i="42" s="1"/>
  <c r="I13" i="14"/>
  <c r="K72" i="13"/>
  <c r="I15" i="42" s="1"/>
  <c r="J72" i="13"/>
  <c r="I72" i="13"/>
  <c r="G15" i="42" s="1"/>
  <c r="H72" i="13"/>
  <c r="I61" i="13"/>
  <c r="G14" i="42" s="1"/>
  <c r="J61" i="13"/>
  <c r="H14" i="42" s="1"/>
  <c r="K61" i="13"/>
  <c r="I14" i="42" s="1"/>
  <c r="H61" i="13"/>
  <c r="F14" i="42" s="1"/>
  <c r="I48" i="13"/>
  <c r="G13" i="42" s="1"/>
  <c r="K48" i="13"/>
  <c r="I13" i="42" s="1"/>
  <c r="J48" i="13"/>
  <c r="H13" i="42" s="1"/>
  <c r="H48" i="13"/>
  <c r="F13" i="42" s="1"/>
  <c r="K35" i="13"/>
  <c r="I12" i="42" s="1"/>
  <c r="I35" i="13"/>
  <c r="G12" i="42" s="1"/>
  <c r="J32" i="13"/>
  <c r="J30" i="13"/>
  <c r="H32" i="13"/>
  <c r="H31" i="13"/>
  <c r="H30" i="13"/>
  <c r="J24" i="13"/>
  <c r="J35" i="13" s="1"/>
  <c r="H12" i="42" s="1"/>
  <c r="H24" i="13"/>
  <c r="G11" i="42"/>
  <c r="I11" i="42"/>
  <c r="J12" i="13"/>
  <c r="J11" i="13"/>
  <c r="H12" i="13"/>
  <c r="H15" i="13" s="1"/>
  <c r="F11" i="42" s="1"/>
  <c r="M9" i="3"/>
  <c r="Q9" i="3" s="1"/>
  <c r="J44" i="45" l="1"/>
  <c r="J38" i="45"/>
  <c r="J25" i="45"/>
  <c r="J30" i="45" s="1"/>
  <c r="Q48" i="44"/>
  <c r="Q50" i="44" s="1"/>
  <c r="I52" i="42"/>
  <c r="G52" i="42"/>
  <c r="O48" i="44"/>
  <c r="O50" i="44" s="1"/>
  <c r="H52" i="42"/>
  <c r="F52" i="42"/>
  <c r="H38" i="45"/>
  <c r="H44" i="45" s="1"/>
  <c r="H25" i="45"/>
  <c r="K46" i="26"/>
  <c r="M17" i="44"/>
  <c r="M31" i="44" s="1"/>
  <c r="M39" i="44" s="1"/>
  <c r="H19" i="42"/>
  <c r="J15" i="13"/>
  <c r="H11" i="42" s="1"/>
  <c r="H35" i="13"/>
  <c r="F12" i="42" s="1"/>
  <c r="G19" i="42"/>
  <c r="G21" i="42" s="1"/>
  <c r="G40" i="42" s="1"/>
  <c r="G44" i="42" s="1"/>
  <c r="I19" i="42"/>
  <c r="F19" i="42"/>
  <c r="F15" i="42"/>
  <c r="H15" i="42"/>
  <c r="I21" i="42"/>
  <c r="I33" i="42" s="1"/>
  <c r="E45" i="3" l="1"/>
  <c r="E50" i="3" s="1"/>
  <c r="E20" i="3"/>
  <c r="E36" i="3"/>
  <c r="E11" i="3"/>
  <c r="E16" i="3" s="1"/>
  <c r="E18" i="3" s="1"/>
  <c r="H17" i="42"/>
  <c r="H21" i="42" s="1"/>
  <c r="H40" i="42" s="1"/>
  <c r="H44" i="42" s="1"/>
  <c r="H50" i="42" s="1"/>
  <c r="H54" i="42" s="1"/>
  <c r="H56" i="42" s="1"/>
  <c r="H58" i="42" s="1"/>
  <c r="F17" i="42"/>
  <c r="F21" i="42" s="1"/>
  <c r="F33" i="42" s="1"/>
  <c r="I40" i="42"/>
  <c r="I44" i="42" s="1"/>
  <c r="I50" i="42" s="1"/>
  <c r="I54" i="42" s="1"/>
  <c r="I56" i="42" s="1"/>
  <c r="I58" i="42" s="1"/>
  <c r="G33" i="42"/>
  <c r="G50" i="42"/>
  <c r="E41" i="3" l="1"/>
  <c r="E43" i="3" s="1"/>
  <c r="E52" i="3" s="1"/>
  <c r="I41" i="3"/>
  <c r="I43" i="3" s="1"/>
  <c r="I11" i="3"/>
  <c r="I16" i="3" s="1"/>
  <c r="I18" i="3" s="1"/>
  <c r="H33" i="42"/>
  <c r="F40" i="42"/>
  <c r="F44" i="42" s="1"/>
  <c r="F62" i="42" s="1"/>
  <c r="J56" i="45"/>
  <c r="J58" i="45" s="1"/>
  <c r="M36" i="3" l="1"/>
  <c r="M41" i="3" s="1"/>
  <c r="M43" i="3" s="1"/>
  <c r="M11" i="3"/>
  <c r="H9" i="45"/>
  <c r="H30" i="45" s="1"/>
  <c r="F50" i="42"/>
  <c r="F56" i="42" s="1"/>
  <c r="F58" i="42" s="1"/>
  <c r="Q36" i="3" l="1"/>
  <c r="Q41" i="3" s="1"/>
  <c r="Q43" i="3" s="1"/>
  <c r="Q11" i="3"/>
  <c r="Q16" i="3" s="1"/>
  <c r="Q18" i="3" s="1"/>
  <c r="M16" i="3"/>
  <c r="M18" i="3" s="1"/>
  <c r="H56" i="45"/>
  <c r="H59" i="45" s="1"/>
  <c r="K31" i="44"/>
  <c r="K39" i="44" s="1"/>
  <c r="E25" i="3" l="1"/>
  <c r="E27" i="3" s="1"/>
  <c r="G53" i="42" l="1"/>
  <c r="G54" i="42" l="1"/>
  <c r="G56" i="42" s="1"/>
  <c r="G58" i="42" s="1"/>
  <c r="G45" i="3"/>
  <c r="G50" i="3" s="1"/>
  <c r="G52" i="3" s="1"/>
  <c r="I45" i="3" l="1"/>
  <c r="I50" i="3" s="1"/>
  <c r="I52" i="3" s="1"/>
  <c r="M46" i="44" s="1"/>
  <c r="M48" i="44" s="1"/>
  <c r="M50" i="44" s="1"/>
  <c r="M45" i="3" l="1"/>
  <c r="Q45" i="3" s="1"/>
  <c r="Q50" i="3" s="1"/>
  <c r="Q52" i="3" s="1"/>
  <c r="M50" i="3" l="1"/>
  <c r="M52" i="3" s="1"/>
  <c r="I25" i="3" l="1"/>
  <c r="I27" i="3" s="1"/>
  <c r="K46" i="44" s="1"/>
  <c r="K48" i="44" s="1"/>
  <c r="K50" i="44" s="1"/>
  <c r="M20" i="3" l="1"/>
  <c r="M25" i="3" s="1"/>
  <c r="M27" i="3" s="1"/>
  <c r="Q20" i="3" l="1"/>
  <c r="Q25" i="3" s="1"/>
  <c r="Q27" i="3" s="1"/>
</calcChain>
</file>

<file path=xl/comments1.xml><?xml version="1.0" encoding="utf-8"?>
<comments xmlns="http://schemas.openxmlformats.org/spreadsheetml/2006/main">
  <authors>
    <author>ewharton</author>
  </authors>
  <commentList>
    <comment ref="H18" authorId="0">
      <text>
        <r>
          <rPr>
            <b/>
            <sz val="9"/>
            <color indexed="81"/>
            <rFont val="Tahoma"/>
            <family val="2"/>
          </rPr>
          <t xml:space="preserve">ewharton
</t>
        </r>
        <r>
          <rPr>
            <sz val="9"/>
            <color indexed="81"/>
            <rFont val="Tahoma"/>
            <family val="2"/>
          </rPr>
          <t xml:space="preserve">
Assume tax creditor includes tax credits of 100 and 2 relating to JV and associate (difference between operating deficit and movement on BS) so tax creditor relating to 
Assume deferred income includes £3.5m relating to capital grants</t>
        </r>
      </text>
    </comment>
    <comment ref="H21" authorId="0">
      <text>
        <r>
          <rPr>
            <b/>
            <sz val="9"/>
            <color indexed="81"/>
            <rFont val="Tahoma"/>
            <family val="2"/>
          </rPr>
          <t>ewharton:</t>
        </r>
        <r>
          <rPr>
            <sz val="9"/>
            <color indexed="81"/>
            <rFont val="Tahoma"/>
            <family val="2"/>
          </rPr>
          <t xml:space="preserve">
Assumed</t>
        </r>
      </text>
    </comment>
    <comment ref="H42" authorId="0">
      <text>
        <r>
          <rPr>
            <b/>
            <sz val="9"/>
            <color indexed="81"/>
            <rFont val="Tahoma"/>
            <family val="2"/>
          </rPr>
          <t>ewharton:</t>
        </r>
        <r>
          <rPr>
            <sz val="9"/>
            <color indexed="81"/>
            <rFont val="Tahoma"/>
            <family val="2"/>
          </rPr>
          <t xml:space="preserve">
Assume new endowments in year have been treated as new deposits in current asset investments</t>
        </r>
      </text>
    </comment>
  </commentList>
</comments>
</file>

<file path=xl/sharedStrings.xml><?xml version="1.0" encoding="utf-8"?>
<sst xmlns="http://schemas.openxmlformats.org/spreadsheetml/2006/main" count="2106" uniqueCount="1215">
  <si>
    <t>Introduction</t>
  </si>
  <si>
    <t>These proforma financial statements set out a proforma group and University set of financial statements in accordance with</t>
  </si>
  <si>
    <t>FRS 102 and the 2015 SORP. These proforma financial statements do not form part of FRS 102 or the SORP and therefore</t>
  </si>
  <si>
    <t>are intended as guidance only.</t>
  </si>
  <si>
    <t>The proforma financial statements do not include disclosures relating to:</t>
  </si>
  <si>
    <t>discontinued operations</t>
  </si>
  <si>
    <t>busines combinations</t>
  </si>
  <si>
    <t>capital grants under the accrual method</t>
  </si>
  <si>
    <t>amongst other potential transactions and therefore may not include all disclosure and presentation examples. Instittuions</t>
  </si>
  <si>
    <t>should refer to FRS 102 and the 2015 SORP for the full requirements.</t>
  </si>
  <si>
    <t>Consolidated Statement of Comprehensive Income and Expenditure</t>
  </si>
  <si>
    <t>Income</t>
  </si>
  <si>
    <t>Tuition fees and education contracts</t>
  </si>
  <si>
    <t>Funding body grants</t>
  </si>
  <si>
    <t>Research grants and contracts</t>
  </si>
  <si>
    <t>Other income</t>
  </si>
  <si>
    <t>Investment income</t>
  </si>
  <si>
    <t>Donations and endowments</t>
  </si>
  <si>
    <t>Year ended 31 July 201Y</t>
  </si>
  <si>
    <t>Year ended 31 July 201X</t>
  </si>
  <si>
    <t>Notes</t>
  </si>
  <si>
    <t>Consolidated</t>
  </si>
  <si>
    <t>University</t>
  </si>
  <si>
    <t xml:space="preserve">£'000 </t>
  </si>
  <si>
    <t>Total income</t>
  </si>
  <si>
    <t>Expenditure</t>
  </si>
  <si>
    <t xml:space="preserve">Staff costs </t>
  </si>
  <si>
    <t>Fundamental restructuring costs</t>
  </si>
  <si>
    <t>Other operating expenses</t>
  </si>
  <si>
    <t xml:space="preserve">Depreciation </t>
  </si>
  <si>
    <t>Interest and other finance costs</t>
  </si>
  <si>
    <t>Total expenditure</t>
  </si>
  <si>
    <t>Surplus/deficit before other gains losses and share of operating surplus/deficit of joint ventures and associates.</t>
  </si>
  <si>
    <t>Gain/(loss) on disposal of fixed assets</t>
  </si>
  <si>
    <t>(Loss) / Gain on investments</t>
  </si>
  <si>
    <t>Share of operating surplus/(deficit) in joint venture</t>
  </si>
  <si>
    <t>Share of operating surplus/(deficit) in associate</t>
  </si>
  <si>
    <t>Surplus / (Deficit) before tax</t>
  </si>
  <si>
    <t>Taxation</t>
  </si>
  <si>
    <t>Surplus / (Deficit) for the year</t>
  </si>
  <si>
    <t>Unrealised surplus on revaluation of land and buildings</t>
  </si>
  <si>
    <t>Actuarial (loss)/gain in respect of pension schemes</t>
  </si>
  <si>
    <t>Change in fair value of hedging financial instruments</t>
  </si>
  <si>
    <t>Total comprehensive income for the year</t>
  </si>
  <si>
    <t>Represented by:</t>
  </si>
  <si>
    <t xml:space="preserve">   Endowment comprehensive income for the year</t>
  </si>
  <si>
    <t xml:space="preserve">   Restricted comprehensive income for the year</t>
  </si>
  <si>
    <t xml:space="preserve">   Unrestricted comprehensive income for the year</t>
  </si>
  <si>
    <t>Surplus for the year attributable to:</t>
  </si>
  <si>
    <t xml:space="preserve">   Non controlling interest</t>
  </si>
  <si>
    <t xml:space="preserve">   University</t>
  </si>
  <si>
    <t>All items of income and expenditure relate to continuing activities</t>
  </si>
  <si>
    <t>Year Ended 31 July 201Y</t>
  </si>
  <si>
    <t>Consolidated and University Statement of Changes in Reserves</t>
  </si>
  <si>
    <t>Balance at 1 August 201W</t>
  </si>
  <si>
    <t>Surplus/(deficit) from the income and expenditure statement</t>
  </si>
  <si>
    <t>Other comprehensive income</t>
  </si>
  <si>
    <t>Transfers between revaluation and income and expenditure reserve</t>
  </si>
  <si>
    <t>Balance at 1 August 201X</t>
  </si>
  <si>
    <t>Balance at 31 July 201Y</t>
  </si>
  <si>
    <t xml:space="preserve">Income and expenditure account </t>
  </si>
  <si>
    <t>Revaluation reserve</t>
  </si>
  <si>
    <t>Total excluding Non Controlling Interest</t>
  </si>
  <si>
    <t>Non controlling interest</t>
  </si>
  <si>
    <t xml:space="preserve">Total </t>
  </si>
  <si>
    <t>Endowment</t>
  </si>
  <si>
    <t xml:space="preserve">Restricted </t>
  </si>
  <si>
    <t>Unrestricted</t>
  </si>
  <si>
    <t xml:space="preserve">£'000  </t>
  </si>
  <si>
    <t>Non-current assets</t>
  </si>
  <si>
    <t>Intangible assets and goodwill</t>
  </si>
  <si>
    <t>Negative goodwill arising from the acquisition of ABC College</t>
  </si>
  <si>
    <t>Fixed assets</t>
  </si>
  <si>
    <t>Heritage assets</t>
  </si>
  <si>
    <t>Investments</t>
  </si>
  <si>
    <t>Investment in joint venture</t>
  </si>
  <si>
    <t>Investments in associate</t>
  </si>
  <si>
    <t>Current assets</t>
  </si>
  <si>
    <t>Stock</t>
  </si>
  <si>
    <t>Trade and other receivables</t>
  </si>
  <si>
    <t>Cash and cash equivalents</t>
  </si>
  <si>
    <t>Share of net liabilities in associate</t>
  </si>
  <si>
    <t>Net current (liabilities)/assets</t>
  </si>
  <si>
    <t>Total assets less current liabilities</t>
  </si>
  <si>
    <t>Creditors: amounts falling due after more than one year</t>
  </si>
  <si>
    <t>Provisions</t>
  </si>
  <si>
    <t>Pension provisions</t>
  </si>
  <si>
    <t>Other provisions</t>
  </si>
  <si>
    <t xml:space="preserve">Total net assets </t>
  </si>
  <si>
    <t xml:space="preserve">Restricted Reserves </t>
  </si>
  <si>
    <t>Income and expenditure reserve - endowment reserve</t>
  </si>
  <si>
    <t>Income and expenditure reserve - restricted reserve</t>
  </si>
  <si>
    <t>Unrestricted Reserves</t>
  </si>
  <si>
    <t>Income and expenditure reserve - unrestricted</t>
  </si>
  <si>
    <t>Non-controlling interest</t>
  </si>
  <si>
    <t>Total Reserves</t>
  </si>
  <si>
    <t>The financial statements  were approved by the Governing Body on [insert date] and were signed on its behalf on that date by:</t>
  </si>
  <si>
    <t xml:space="preserve">[Name], Vice-Chancellor </t>
  </si>
  <si>
    <t>[Name],  Chair of Council</t>
  </si>
  <si>
    <t>[Name],  Finance Director</t>
  </si>
  <si>
    <t>Universitys should consider who the appropraite signatory is.</t>
  </si>
  <si>
    <t>As at 31 July 201Y</t>
  </si>
  <si>
    <t>As at 31 July 201X</t>
  </si>
  <si>
    <t>Cash flow from operating activities</t>
  </si>
  <si>
    <t>Surplus for the year</t>
  </si>
  <si>
    <t>Adjustment for non-cash items</t>
  </si>
  <si>
    <t>Depreciation</t>
  </si>
  <si>
    <t>Benefit on acquisition of ABC College released to Income</t>
  </si>
  <si>
    <t>Amortisation of goodwill</t>
  </si>
  <si>
    <t>Decrease/(increase) in stock</t>
  </si>
  <si>
    <t>Decrease/(increase) in debtors</t>
  </si>
  <si>
    <t>Increase/(decrease) in creditors</t>
  </si>
  <si>
    <t xml:space="preserve">Receipt of donated equipment </t>
  </si>
  <si>
    <t>Adjustment for investing or financing activities</t>
  </si>
  <si>
    <t>Interest payable</t>
  </si>
  <si>
    <t>Profit on the sale of fixed assets</t>
  </si>
  <si>
    <t>Net cash inflow from operating activities</t>
  </si>
  <si>
    <t>Cash flows from investing activities</t>
  </si>
  <si>
    <t>Proceeds from sales of fixed assets</t>
  </si>
  <si>
    <t>Withdrawal of deposits</t>
  </si>
  <si>
    <t>Payments made to acquire fixed assets</t>
  </si>
  <si>
    <t>Cash flows from financing activities</t>
  </si>
  <si>
    <t>Interest paid</t>
  </si>
  <si>
    <t>New secured loans</t>
  </si>
  <si>
    <t>Repayments of amounts borrowed</t>
  </si>
  <si>
    <t>(Decrease)/increase in cash and cash equivalents in the year</t>
  </si>
  <si>
    <t>Cash and cash  equivalents at beginning of the year</t>
  </si>
  <si>
    <t>Cash and cash  equivalents at end of the year</t>
  </si>
  <si>
    <t>£'000</t>
  </si>
  <si>
    <t>for the year ended 31 July 201Y</t>
  </si>
  <si>
    <t>1.</t>
  </si>
  <si>
    <t>Basis of preparation</t>
  </si>
  <si>
    <t xml:space="preserve">These financial statements have been prepared in accordance with the Statement of Recommended Practice (SORP): Accounting for </t>
  </si>
  <si>
    <t>2.</t>
  </si>
  <si>
    <t>Basis of consolidation</t>
  </si>
  <si>
    <t xml:space="preserve">The consolidated financial statements include the University and all its subsidiaries for the financial year to 31 July 201 Y. The results of </t>
  </si>
  <si>
    <t xml:space="preserve">subsidiaries acquired or disposed of during the period are included in the consolidated statement of income and expenditure from the </t>
  </si>
  <si>
    <t>date of acquisition or up to the date of disposal. Intra-group transactions are eliminated on consolidation.</t>
  </si>
  <si>
    <t>3.</t>
  </si>
  <si>
    <t>Income recognition</t>
  </si>
  <si>
    <t xml:space="preserve">Income from the sale of goods or services is credited to the Consolidated Statement of Comprehensive Income and Expenditure when </t>
  </si>
  <si>
    <t>the goods or services are supplied to the external customers or the terms of the contract have been satisfied.</t>
  </si>
  <si>
    <t xml:space="preserve">Fee income is stated gross of any expenditure which is not a discount and credited to the Consolidated Statement of Income and </t>
  </si>
  <si>
    <t xml:space="preserve">Comprehensive Expenditure over the period in which students are studying. Where the amount of the tuition fee is reduced, by a discount </t>
  </si>
  <si>
    <t xml:space="preserve">for prompt payment, income receivable is shown net of the discount. Bursaries and scholarships are accounted for gross as expenditure </t>
  </si>
  <si>
    <t>and not deducted from income.</t>
  </si>
  <si>
    <t xml:space="preserve">Funds the University receives and disburses as paying agent on behalf of a funding body are excluded from the income and expenditure </t>
  </si>
  <si>
    <t>of the University where the University is exposed to minimal risk or enjoys minimal economic benefit related to the transaction.</t>
  </si>
  <si>
    <t>met.</t>
  </si>
  <si>
    <t xml:space="preserve">Non exchange transactions without performance related conditions are donations and endowments. Donations and endowments with </t>
  </si>
  <si>
    <t>unrestricted income according to the terms other restriction applied to the individual endowment fund.</t>
  </si>
  <si>
    <t>1. Restricted donations - the donor has specified that the donation must be used for a particular objective.</t>
  </si>
  <si>
    <t>stream for the general benefit of the University.</t>
  </si>
  <si>
    <t xml:space="preserve">3. Restricted expendable endowments - the donor has specified a particular objective other than the purchase or construction of tangible </t>
  </si>
  <si>
    <t>4. Restricted permanent endowments - the donor has specified that the fund is to be permanently invested to generate an income stream</t>
  </si>
  <si>
    <t>to be applied to a particular objective.</t>
  </si>
  <si>
    <t>Capital grants</t>
  </si>
  <si>
    <t>Investment income is credited to the statement of income and expenditure on a receivable basis.</t>
  </si>
  <si>
    <t>Accounting for retirement benefits</t>
  </si>
  <si>
    <t>4.</t>
  </si>
  <si>
    <t xml:space="preserve">Pension Scheme (UXPS). The schemes are defined benefit schemes. which are externally funded and contracted out of the State </t>
  </si>
  <si>
    <t>Second Pension (S2P). Each fund is valued every three years by professionally qualified independent actuaries.</t>
  </si>
  <si>
    <t>mutual nature of the scheme and therefore this scheme is accounted for as a defined contribution retirement benefit scheme.</t>
  </si>
  <si>
    <t>A liability is recorded within provisions for any contractual commitment to fund past deficits within the USS scheme.</t>
  </si>
  <si>
    <t>Defined Contribution Plan</t>
  </si>
  <si>
    <t xml:space="preserve">A defined contribution plan is a post-employment benefit plan under which the company pays fixed contributions into a separate entity </t>
  </si>
  <si>
    <t>plans are recognised as an expense in the income statement in the periods during which services are rendered by employees.</t>
  </si>
  <si>
    <t>Defined Benefit Plan</t>
  </si>
  <si>
    <t>Employment benefits</t>
  </si>
  <si>
    <t>5.</t>
  </si>
  <si>
    <t xml:space="preserve">Short term employment benefits such as salaries and compensated absences are recognised as an expense in the year in which the </t>
  </si>
  <si>
    <t xml:space="preserve">employees render service to the University. Any unused benefits are accrued and measured as the additional amount the University </t>
  </si>
  <si>
    <t>expects to pay as a result of the unused entitlement.</t>
  </si>
  <si>
    <t>Finance leases</t>
  </si>
  <si>
    <t>6.</t>
  </si>
  <si>
    <t xml:space="preserve">Leases in which the University assumes substantially all the risks and rewards of ownership of the leased asset are classified as finance </t>
  </si>
  <si>
    <t xml:space="preserve">Minimum lease payments are apportioned between the finance charge and the reduction of the outstanding liability. The finance charge </t>
  </si>
  <si>
    <t xml:space="preserve">is allocated to each period during the lease term so as to produce a constant periodic rate of interest on the remaining balance of the </t>
  </si>
  <si>
    <t>liability.</t>
  </si>
  <si>
    <t>7.</t>
  </si>
  <si>
    <t>Service Concession Arrangements</t>
  </si>
  <si>
    <t>lease payments when the assets are bought into use with a corresponding financial liability.</t>
  </si>
  <si>
    <t xml:space="preserve">Payments under the service concession arrangement are allocated between service costs, finance charges and financial liability </t>
  </si>
  <si>
    <t>repayments to reduce the financial liability to nil over the life of the arrangement.</t>
  </si>
  <si>
    <t>8.</t>
  </si>
  <si>
    <t>Operating leases</t>
  </si>
  <si>
    <t xml:space="preserve">Costs in respect of operating leases are charged on a straight-line basis over the lease term. Any lease premiums or incentives are </t>
  </si>
  <si>
    <t>spread over the minimum lease term.</t>
  </si>
  <si>
    <t>9.</t>
  </si>
  <si>
    <t>Foreign currency</t>
  </si>
  <si>
    <t xml:space="preserve">Transactions in foreign currencies are translated to the respective functional currencies of Group entities at the foreign exchange rate </t>
  </si>
  <si>
    <t xml:space="preserve">ruling at the date of the transaction. Monetary assets and liabilities denominated in foreign currencies at the balance sheet date are </t>
  </si>
  <si>
    <t xml:space="preserve">translated using the exchange rate at the date of the transaction. Non-monetary assets and liabilities denominated in foreign currencies </t>
  </si>
  <si>
    <t xml:space="preserve">that are stated at fair value are retranslated to the functional currency at foreign exchange rates ruling at the dates the fair value was </t>
  </si>
  <si>
    <t>determined.</t>
  </si>
  <si>
    <t>The assets and liabilities of foreign operations, including goodwill and fair value adjustments arising on consolidation, are translated to</t>
  </si>
  <si>
    <t xml:space="preserve">the Group's presentational currency, [Sterling], at foreign exchange rates ruling at the balance sheet date. The revenues and expenses of </t>
  </si>
  <si>
    <t>foreign operations are translated at an average rate for the year where this rate approximates to the foreign exchange rates ruling at</t>
  </si>
  <si>
    <t>When the Group disposes of only part of its interest in a subsidiary that includes a foreign operation while still retaining control, the</t>
  </si>
  <si>
    <t>relevant proportion of the accumulated amount is reattributed to non-controlling interests. When the Group disposes of only part of its</t>
  </si>
  <si>
    <t xml:space="preserve">investment in an associate or joint venture that includes a foreign operation while still retaining significant Influence or joint control, the </t>
  </si>
  <si>
    <t>relevant proportion of the cumulative amount is recycled to the Statement of Comprehensive Income and Expenditure.</t>
  </si>
  <si>
    <t xml:space="preserve">[Exchange differences arising from a monetary item receivable from or payable to a foreign operation, the settlement of which is neither </t>
  </si>
  <si>
    <t xml:space="preserve">planned nor likely in the foreseeable future, are considered to form part of a net investment in a foreign operation and are recognised </t>
  </si>
  <si>
    <t>directly in equity.]</t>
  </si>
  <si>
    <t>10.</t>
  </si>
  <si>
    <r>
      <t xml:space="preserve">Land </t>
    </r>
    <r>
      <rPr>
        <sz val="12"/>
        <color rgb="FF3E3C3D"/>
        <rFont val="Arial"/>
        <family val="2"/>
      </rPr>
      <t xml:space="preserve">and </t>
    </r>
    <r>
      <rPr>
        <sz val="12"/>
        <color rgb="FF282527"/>
        <rFont val="Arial"/>
        <family val="2"/>
      </rPr>
      <t xml:space="preserve">buildings are measured using the revaluation model. Under the </t>
    </r>
    <r>
      <rPr>
        <sz val="12"/>
        <color rgb="FF3E3C3D"/>
        <rFont val="Arial"/>
        <family val="2"/>
      </rPr>
      <t xml:space="preserve">revaluation </t>
    </r>
    <r>
      <rPr>
        <sz val="12"/>
        <color rgb="FF282527"/>
        <rFont val="Arial"/>
        <family val="2"/>
      </rPr>
      <t xml:space="preserve">model, assets are revalued to fair value. The </t>
    </r>
  </si>
  <si>
    <t xml:space="preserve">University has a policy of ensuring a full revaluation takes place at least every 5 years such that the market value is not materially </t>
  </si>
  <si>
    <t>different to the current value. Depreciation and impairment losses are subsequently charged on the revalued amount.</t>
  </si>
  <si>
    <t xml:space="preserve">Costs incurred in relation to land and buildings after initial purchase or construction, and prior to valuation, are capitalised to the extent </t>
  </si>
  <si>
    <t>that they increase the expected future benefits to the University.</t>
  </si>
  <si>
    <t xml:space="preserve">Freehold land is not depreciated as it is considered to have an indefinite useful life. Freehold buildings are depreciated on a straight line </t>
  </si>
  <si>
    <t>basis over their expected useful lives as follows</t>
  </si>
  <si>
    <t>Academic buildings</t>
  </si>
  <si>
    <t xml:space="preserve">Residences                                                             </t>
  </si>
  <si>
    <t xml:space="preserve">Laboratories and lecture theatres                            </t>
  </si>
  <si>
    <t xml:space="preserve">Refurbishments                                                       </t>
  </si>
  <si>
    <t>50 years</t>
  </si>
  <si>
    <t>30 years</t>
  </si>
  <si>
    <t>20 years</t>
  </si>
  <si>
    <t xml:space="preserve">Leasehold land is depreciated over the life of the lease up to a maximum of 50 years. </t>
  </si>
  <si>
    <t>No depreciation is charged on assets in the course of construction.</t>
  </si>
  <si>
    <t>Equipment</t>
  </si>
  <si>
    <t>other equipment is capitalised.</t>
  </si>
  <si>
    <t xml:space="preserve">Capitalised equipment is stated at cost and depreciated over its expected useful life as follows: </t>
  </si>
  <si>
    <t>Computer Equipment</t>
  </si>
  <si>
    <t>Equipment acquired for specific research projects</t>
  </si>
  <si>
    <t>Other Equipment</t>
  </si>
  <si>
    <t>Motor Vehicles</t>
  </si>
  <si>
    <t>4 years</t>
  </si>
  <si>
    <t>3-5 years</t>
  </si>
  <si>
    <t>10 years</t>
  </si>
  <si>
    <t>Depreciation methods, useful lives and residual values are reviewed at the date of preparation of each Balance Sheet.</t>
  </si>
  <si>
    <t>Borrowing costs</t>
  </si>
  <si>
    <t>11.</t>
  </si>
  <si>
    <t>recognised at the cost or value of the acquisition, where such a cost or valuation is reasonably obtainable.</t>
  </si>
  <si>
    <t>Heritage assets are not depreciated as their long economic life and high residual value mean that any depreciation would not be material.</t>
  </si>
  <si>
    <t>12.</t>
  </si>
  <si>
    <t>Intangible assets and Goodwill</t>
  </si>
  <si>
    <t xml:space="preserve">Goodwill arises on consolidation and is based on the difference between the fair value of the consideration given for the undertaking </t>
  </si>
  <si>
    <t>acquired and the fair value of its separable net assets at the date of acquisition.</t>
  </si>
  <si>
    <t>Negative goodwill is amortised over 5 years or the service lives of long life assets to which the goodwill is attributed.</t>
  </si>
  <si>
    <t>Investment Properties</t>
  </si>
  <si>
    <t>13.</t>
  </si>
  <si>
    <t xml:space="preserve">Investment property is land and buildings held for rental income or capital appreciation rather than for use in delivering services. </t>
  </si>
  <si>
    <t>14.</t>
  </si>
  <si>
    <t>15.</t>
  </si>
  <si>
    <t>Stock is held at the lower of cost and net realisable value, and is measured using an average cost formula.</t>
  </si>
  <si>
    <t>16.</t>
  </si>
  <si>
    <t xml:space="preserve">Cash includes cash in hand, deposits repayable on demand and overdrafts. Deposits are repayable on demand if they are in practice </t>
  </si>
  <si>
    <t>available within 24 hours without penalty.</t>
  </si>
  <si>
    <t xml:space="preserve">Cash equivalents are short term, highly liquid investments that are readily convertible to known amounts of cash with insignificant risk of </t>
  </si>
  <si>
    <t>change in value.</t>
  </si>
  <si>
    <t>17.</t>
  </si>
  <si>
    <t xml:space="preserve">The University is preparing its financial statements in accordance with FRS 102 for the first time and consequently has applied the first </t>
  </si>
  <si>
    <t xml:space="preserve">time adoption requirements. An explanation of how the transition to [  ] SORP has affected the reported financial position, financial </t>
  </si>
  <si>
    <t>performance and cash flows of the consolidated results of the University is provided in note 37.</t>
  </si>
  <si>
    <t xml:space="preserve">Application of first time adoption grants certain exemption from the full requirements of [ ] SORP in the transition period. The following </t>
  </si>
  <si>
    <t>exemptions have been taken into these financial statements:</t>
  </si>
  <si>
    <t>Fair value or revaluation as deemed cost - at [ ], fair value has been used for deemed cost for properties measured at fair value.</t>
  </si>
  <si>
    <t>18.</t>
  </si>
  <si>
    <t>Provisions, contingent liabilities and contingent assets</t>
  </si>
  <si>
    <t>Provisions are recognised in the financial statements when:</t>
  </si>
  <si>
    <t>(a) the University has a present obligation (legal or constructive) as a result of a past event;</t>
  </si>
  <si>
    <t>(b) it is probable that an outflow of economic benefits will be required to settle the obligation; and</t>
  </si>
  <si>
    <t>(c) a reliable estimate can be made of the amount of the obligation.</t>
  </si>
  <si>
    <t xml:space="preserve">The amount recognised as a provision is determined by discounting the expected future cash flows at a pre-tax rate that reflects risks </t>
  </si>
  <si>
    <t>specific to the liability.</t>
  </si>
  <si>
    <t xml:space="preserve">A contingent liability arises from a past event that gives the University a possible obligation whose existence will only be confirmed by </t>
  </si>
  <si>
    <t xml:space="preserve">the occurrence or otherwise of uncertain future events not wholly within the control of the University. Contingent liabilities also arise in </t>
  </si>
  <si>
    <t xml:space="preserve">circumstances where a provision would otherwise be made but either it is not probable that an outflow of resources will be required or </t>
  </si>
  <si>
    <t>the amount of the obligation cannot be measured reliably.</t>
  </si>
  <si>
    <t xml:space="preserve">A contingent asset arises where an event has taken place that gives the University a possible asset whose existence will only be </t>
  </si>
  <si>
    <t>confirmed by the occurrence or otherwise of uncertain future events not wholly within the control of the University.</t>
  </si>
  <si>
    <t>Contingent assets and liabilities are not recognised in the Balance Sheet but are disclosed in the notes.</t>
  </si>
  <si>
    <t>19.</t>
  </si>
  <si>
    <t>Accounting for Joint Operations, Jointly Controlled Assets and Jointly Controlled Operations</t>
  </si>
  <si>
    <t>The University accounts for its share of joint ventures using the equity method.</t>
  </si>
  <si>
    <t>20.</t>
  </si>
  <si>
    <t xml:space="preserve">The University is an exempt charity within the meaning of Part 3 of the Charities Act 2011, [The University is an exempt Charity within the </t>
  </si>
  <si>
    <t xml:space="preserve">meaning of the Trustee Investment and Charities (Scotland) Act 2005 and, as such, is a charity within the meaning of Section 506 (1) of the </t>
  </si>
  <si>
    <t xml:space="preserve">Income and Corporation Taxes Act 1988. The University is recognised as a charity by HM Revenue &amp; Customs and is recorded on the </t>
  </si>
  <si>
    <t>index of charities maintained by the Office of Scottish Charity Regulator]. It is therefore a charity within the meaning of Para 1 of schedule</t>
  </si>
  <si>
    <t xml:space="preserve">6 to the Finance Act 2010 and accordingly, the University is potentially exempt from taxation in respect of income or capital gains received </t>
  </si>
  <si>
    <t xml:space="preserve">within categories covered by section 478-488 of the Corporation Tax Act 2010 (CTA 2010) or section 256 of the Taxation of Chargeable </t>
  </si>
  <si>
    <t>Gains Act 1992, to the extent that such income or gains are applied to exclusively charitable purposes.</t>
  </si>
  <si>
    <t xml:space="preserve">[The University receives no similar exemption in respect of Value Added Tax. Irrecoverable VAT on inputs is included in the costs of such </t>
  </si>
  <si>
    <t>inputs. Any irrecoverable VAT allocated to fixed assets is included in their cost].</t>
  </si>
  <si>
    <t>The University’s subsidiaries are liable to Corporation Tax in the same way as any other commercial organisation.</t>
  </si>
  <si>
    <t xml:space="preserve">Deferred tax is provided in full on timing differences which result in an obligation at the balance sheet date to pay more tax, or a right to </t>
  </si>
  <si>
    <t xml:space="preserve">pay less tax, at a future date, at rates expected to apply when they crystallise based on current rates and law. Timing differences arise </t>
  </si>
  <si>
    <t xml:space="preserve">from the inclusion of items of income and expenditure in taxation computations in periods different from those in which they are included </t>
  </si>
  <si>
    <t>in financial statements. Deferred tax assets are more likely than not to be recovered. Deferred tax assets and liabilities are not discounted.</t>
  </si>
  <si>
    <t>21.</t>
  </si>
  <si>
    <t>Derivatives</t>
  </si>
  <si>
    <t>22.</t>
  </si>
  <si>
    <t>Reserves</t>
  </si>
  <si>
    <t>restricted in the use of these funds.</t>
  </si>
  <si>
    <t>Notes to the Accounts</t>
  </si>
  <si>
    <t>Year Ended 31 July 201X</t>
  </si>
  <si>
    <t>Full-time home and EU students</t>
  </si>
  <si>
    <t>Full-time international students</t>
  </si>
  <si>
    <t xml:space="preserve">Part-time students </t>
  </si>
  <si>
    <t>Recurrent grant</t>
  </si>
  <si>
    <t>Higher Education Funding Council</t>
  </si>
  <si>
    <t>National College for Teaching and Leadership</t>
  </si>
  <si>
    <t>Capital grant</t>
  </si>
  <si>
    <t>Specific grants</t>
  </si>
  <si>
    <t>Higher Education Academic Subject Centres</t>
  </si>
  <si>
    <t>Higher Education Innovation Fund</t>
  </si>
  <si>
    <t>Industry and commerce</t>
  </si>
  <si>
    <t xml:space="preserve">Other </t>
  </si>
  <si>
    <t>Residences, catering and conferences</t>
  </si>
  <si>
    <t>Release of benefit arising from acquisitions</t>
  </si>
  <si>
    <t>New endowments</t>
  </si>
  <si>
    <t>Donations with restrictions</t>
  </si>
  <si>
    <t>Unrestricted donations</t>
  </si>
  <si>
    <t>Year Ended</t>
  </si>
  <si>
    <t>31 July 201Y</t>
  </si>
  <si>
    <t>31 July 201X</t>
  </si>
  <si>
    <t>Staff Costs :</t>
  </si>
  <si>
    <t>Salaries</t>
  </si>
  <si>
    <t>Social security costs</t>
  </si>
  <si>
    <t xml:space="preserve">Other pension costs </t>
  </si>
  <si>
    <t>Emoluments of the Vice-Chancellor:</t>
  </si>
  <si>
    <t>£</t>
  </si>
  <si>
    <t xml:space="preserve">  Salary</t>
  </si>
  <si>
    <t xml:space="preserve">  Benefits</t>
  </si>
  <si>
    <t xml:space="preserve">  Pension contributions to USS</t>
  </si>
  <si>
    <t xml:space="preserve">Remuneration of other higher paid staff, excluding employer's pension contributions (subject to relevant accounts </t>
  </si>
  <si>
    <t>direction) [all shown before any salary sacrifice]:</t>
  </si>
  <si>
    <t>No.</t>
  </si>
  <si>
    <t>£100,000 to £109,999</t>
  </si>
  <si>
    <t>£110,000 to £119,999</t>
  </si>
  <si>
    <t>£120,000 to £129,999</t>
  </si>
  <si>
    <t>£130,000 to £139,999</t>
  </si>
  <si>
    <t>£140,000 to £149,999</t>
  </si>
  <si>
    <t>Average staff numbers by major category :</t>
  </si>
  <si>
    <t>Academic</t>
  </si>
  <si>
    <t>Research</t>
  </si>
  <si>
    <t>Management &amp; specialist</t>
  </si>
  <si>
    <t>Technical</t>
  </si>
  <si>
    <t>Other</t>
  </si>
  <si>
    <t>Compensation for loss of office payable to a senior post-holder:</t>
  </si>
  <si>
    <t>Key management personnel</t>
  </si>
  <si>
    <t xml:space="preserve">Key management personnel are those persons having authority and responsibility for planning, directing and controlling </t>
  </si>
  <si>
    <t>[Universities should define who their "key management personnel" are]</t>
  </si>
  <si>
    <t>Council Members</t>
  </si>
  <si>
    <t xml:space="preserve">The Universit'y council members are the trustees for charitable law purposes. Due to the nature of the University's operations and the </t>
  </si>
  <si>
    <t xml:space="preserve">compositions of the Council, being drawn from local public and private sector organisations, it is inevitable that transactions will take place </t>
  </si>
  <si>
    <t xml:space="preserve">with organisations in which a member of the Council may have an interest. All transactions involving organisations in which a member of </t>
  </si>
  <si>
    <t xml:space="preserve">Council may have an interest, including those identified below, are conducted at arms length and in accordance with the University's </t>
  </si>
  <si>
    <t>Financial Regulations and usual procurement procedures.  Transactions totalling £126,700, relating to the purchase of specialist equipment</t>
  </si>
  <si>
    <t>took place with DEF Ltd, a company in which the Dean of Engineering has a majority interest.  There were no outstanding amounts.</t>
  </si>
  <si>
    <t>If there are no such payments to Council members (trustees) then a statement to this effect must be made.</t>
  </si>
  <si>
    <t>NB Guidance on the above to be issued by HEFCE shortly on their website</t>
  </si>
  <si>
    <t>No council member has received any remuneration/waived payments from the group during the year (201X - none)</t>
  </si>
  <si>
    <t xml:space="preserve">The total expenses paid to or on behalf of 20 council members was £24,600 (201X - £22,000 to 20 council members). This represents </t>
  </si>
  <si>
    <t>travel and subsistence expenses incurred in attending Council, Committee meetings and Charity events in their official capacity.</t>
  </si>
  <si>
    <t>Exchange differences</t>
  </si>
  <si>
    <t>Increase in fair value of derivatives</t>
  </si>
  <si>
    <t xml:space="preserve">Net charge on pension scheme </t>
  </si>
  <si>
    <t xml:space="preserve"> </t>
  </si>
  <si>
    <t>Analysis of total expenditure by activity</t>
  </si>
  <si>
    <t>Academic and related expenditure</t>
  </si>
  <si>
    <t>Administration and central services</t>
  </si>
  <si>
    <t>Premises (including service concession cost)</t>
  </si>
  <si>
    <t>Other expenses</t>
  </si>
  <si>
    <t>Other operating expenses include:</t>
  </si>
  <si>
    <t xml:space="preserve">External auditors remuneration in respect of audit services </t>
  </si>
  <si>
    <t>External auditors remuneration in respect of non-audit services</t>
  </si>
  <si>
    <t>Operating lease rentals</t>
  </si>
  <si>
    <t>Land and buildings</t>
  </si>
  <si>
    <t>Recognised in the statement of comprehensive income</t>
  </si>
  <si>
    <t>Current tax</t>
  </si>
  <si>
    <t>Current tax expense</t>
  </si>
  <si>
    <t>recorded within other Comprehensive Income.</t>
  </si>
  <si>
    <t>Deferred tax</t>
  </si>
  <si>
    <t>Origination and reversal of timing differences</t>
  </si>
  <si>
    <t>Reduction in tax rate</t>
  </si>
  <si>
    <t>Recognition of previously unrecognised tax losses</t>
  </si>
  <si>
    <t>Deferred tax expense</t>
  </si>
  <si>
    <t>Total tax expense</t>
  </si>
  <si>
    <t xml:space="preserve">[Note that the Univesity must provide a full tax reconciliation disclosures if tax is not trivial to the financial statements. Most subsidiary financial </t>
  </si>
  <si>
    <t>statements should include the full tax reconciliation]</t>
  </si>
  <si>
    <t>Intangible assets</t>
  </si>
  <si>
    <t>Opening balance</t>
  </si>
  <si>
    <t>Additions in the year</t>
  </si>
  <si>
    <t>Amortisation charge for the year</t>
  </si>
  <si>
    <t>Closing balance</t>
  </si>
  <si>
    <t>Note 15 includes a detailed fair value on acquisition table where there is negative goodwill</t>
  </si>
  <si>
    <t>The addition during the year relates to the purchase of a software intangible asset.</t>
  </si>
  <si>
    <t>The amortisation period is 5 years.</t>
  </si>
  <si>
    <t>Fixed Assets</t>
  </si>
  <si>
    <t>Freehold Land and Buildings</t>
  </si>
  <si>
    <t>Leasehold Land and Buildings</t>
  </si>
  <si>
    <t>Plant and Machinery</t>
  </si>
  <si>
    <t>Fixtures, Fittings and Equipment</t>
  </si>
  <si>
    <t>Assets in the Course of Construction</t>
  </si>
  <si>
    <t>Total</t>
  </si>
  <si>
    <t>Cost or valuation</t>
  </si>
  <si>
    <t>At 1 August 201X</t>
  </si>
  <si>
    <t xml:space="preserve">Additions </t>
  </si>
  <si>
    <t>Transfers</t>
  </si>
  <si>
    <t>Surplus on revaluation</t>
  </si>
  <si>
    <t>Disposals</t>
  </si>
  <si>
    <t>At 31 July 201Y</t>
  </si>
  <si>
    <t>Consisting of valuation as at:</t>
  </si>
  <si>
    <t>1 July 200Y</t>
  </si>
  <si>
    <t>Cost</t>
  </si>
  <si>
    <t>Charge for the year</t>
  </si>
  <si>
    <t>Written back on revaluation</t>
  </si>
  <si>
    <t>Net book value</t>
  </si>
  <si>
    <t>At 31 July 201X</t>
  </si>
  <si>
    <t>Cost and valuation</t>
  </si>
  <si>
    <t>At 31 July 201Y, freehold land and buildings included £10.9m (201X  - £10.6m) in respect of freehold land and is not depreciated.</t>
  </si>
  <si>
    <t>Included in the cost of fixed assets is aggregated interest capitalised of £2.6m (201X - £2.3m)</t>
  </si>
  <si>
    <t>Leased assets included above:</t>
  </si>
  <si>
    <t>Net Book Value:</t>
  </si>
  <si>
    <t>(A full valuation of the University’s halls of residence and other residential properties was carried out on 31 July 201X by the Valuer)</t>
  </si>
  <si>
    <t>(A full valuation of academic, office, ancillary and support buildings was carried out on 31st July 201X by The Other Valuer)</t>
  </si>
  <si>
    <t>Consolidated fixtures, fittings and equipment include assets held under finance leases as follows:</t>
  </si>
  <si>
    <t>Accumulated depreciation</t>
  </si>
  <si>
    <t>Charge for year</t>
  </si>
  <si>
    <t>[the disclosures in respect of any prior year adjustment arising from the change in accounting policy for heritage assets as prescribed by the new SORP are not shown].</t>
  </si>
  <si>
    <t>The table below shows the analysis of acquisitions</t>
  </si>
  <si>
    <t>Acquisitions for the current and previous four years were as follows:</t>
  </si>
  <si>
    <t>201Y</t>
  </si>
  <si>
    <t>201X</t>
  </si>
  <si>
    <t>201W</t>
  </si>
  <si>
    <t>201V</t>
  </si>
  <si>
    <t>201U</t>
  </si>
  <si>
    <t>Acquisitions purchased with specific donations</t>
  </si>
  <si>
    <t>Acquisitions purchased with University funds</t>
  </si>
  <si>
    <t>Total cost of acquisitions purchased</t>
  </si>
  <si>
    <t>Value of acquisitions by donation</t>
  </si>
  <si>
    <t>Total acquisitions capitalised</t>
  </si>
  <si>
    <t>[Where the University adopts a revaluation basis it will need to disclose details of the date of valuation, method used, qualifications and any significant limitations to the valuation]</t>
  </si>
  <si>
    <t>The University has one on Balance Sheet arrangement where service delivery has commenced.</t>
  </si>
  <si>
    <t>Movement in Service concession arrangement assets</t>
  </si>
  <si>
    <t>Movement in Service concession arrangement liabilities</t>
  </si>
  <si>
    <t>Future commitments</t>
  </si>
  <si>
    <t>The following table analyses the University's future commitments in relation to service concession arrangements.</t>
  </si>
  <si>
    <t>Payable in 1 year</t>
  </si>
  <si>
    <t>Payable in 2-5 years</t>
  </si>
  <si>
    <t>Payable in 6-10 years</t>
  </si>
  <si>
    <t>Liability repayments</t>
  </si>
  <si>
    <t>Finance Charge</t>
  </si>
  <si>
    <t>Service charge</t>
  </si>
  <si>
    <t>The notes below give more information on the University's current service concession arrangements:</t>
  </si>
  <si>
    <t>a) On Balance Sheet concession arrangements</t>
  </si>
  <si>
    <t xml:space="preserve">On XX XX XX the University entered into a X-year contract with a third party provider for the provision and maintenance of XYZ providing </t>
  </si>
  <si>
    <t xml:space="preserve">accommodation to 600 students.  </t>
  </si>
  <si>
    <t>The assets and liabilities relating to this scheme are recognised on the University's Balance Sheet.</t>
  </si>
  <si>
    <t xml:space="preserve">Service commenced on XX XX XX and the contract will finish on 31 July 20XZ.  </t>
  </si>
  <si>
    <t>Negative goodwill arising from the acquisition of ABC college (Consolidated and University)</t>
  </si>
  <si>
    <t>Fair Value</t>
  </si>
  <si>
    <t>At 31 July 201X and at 1 August 201Y</t>
  </si>
  <si>
    <t xml:space="preserve">Released to income and expenditure account </t>
  </si>
  <si>
    <t>Release for year</t>
  </si>
  <si>
    <t xml:space="preserve">Net Book Value </t>
  </si>
  <si>
    <t>The amortisation period is [x] years.</t>
  </si>
  <si>
    <t>Non-Current Investments</t>
  </si>
  <si>
    <t>Subsidiary companies</t>
  </si>
  <si>
    <t>Subsidiary investment in spinouts</t>
  </si>
  <si>
    <t>Other fixed assets investments</t>
  </si>
  <si>
    <t>Additions</t>
  </si>
  <si>
    <t>Impairment</t>
  </si>
  <si>
    <t>[The non-current investments have been valued at market value].</t>
  </si>
  <si>
    <t>The investment in the subsidiary company relates to the introduction of additional share capital to enable it to fund the extension  to facilities.</t>
  </si>
  <si>
    <t>Other non-current investments consist of :</t>
  </si>
  <si>
    <t>Consolidated and University</t>
  </si>
  <si>
    <t>XYZ Limited</t>
  </si>
  <si>
    <t>AB Limited</t>
  </si>
  <si>
    <t>AC Limited</t>
  </si>
  <si>
    <t>[note that any investments that are listed are held at fair value]</t>
  </si>
  <si>
    <t xml:space="preserve">The University holds a 50% share of Sports Industries Limited, a company limited by guarantee.  This is a joint venture company owned equally by the University and Commercial Company.  The arrangement is treated as a joint venture and is accounted for using the equity method, such that 50% of the company’s gross assets and liabilities are incorporated into the consolidated balance sheet of the University and 50% of its net income is reported in the University's consolidated income and expenditure account. </t>
  </si>
  <si>
    <t>Income and expenditure account</t>
  </si>
  <si>
    <t>Deficit before tax</t>
  </si>
  <si>
    <t>Balance sheet</t>
  </si>
  <si>
    <t>Creditors: amounts due within one year</t>
  </si>
  <si>
    <t>Creditors: amounts due after more than one year</t>
  </si>
  <si>
    <t>Share of net assets</t>
  </si>
  <si>
    <t>The university participates in a number of joint research contracts with other universities. Income from such arrangements during 201Y amounted to</t>
  </si>
  <si>
    <t>£[ ]m.  Within this are the following projects of note:</t>
  </si>
  <si>
    <t xml:space="preserve">Research into [   ], a collaborative research contract with a, b and c universities generating income of £[   ]m of which the University receives a 25% share. </t>
  </si>
  <si>
    <t>etc.</t>
  </si>
  <si>
    <t>[University should have a policy for what value specific contracts become individually disclosable]</t>
  </si>
  <si>
    <t>[Note SORP requires numerical examples only when material to the financial statements]</t>
  </si>
  <si>
    <t>Investment in associates</t>
  </si>
  <si>
    <t>The University has a 42% holding in TEF Ltd which offers consultancy into wireless communications, antennas and systems.</t>
  </si>
  <si>
    <t xml:space="preserve">Note: Further analysis is required where it is material to the understanding of the readers of the accounts. </t>
  </si>
  <si>
    <t>Finished goods</t>
  </si>
  <si>
    <t>Work in progress</t>
  </si>
  <si>
    <t>General consumables</t>
  </si>
  <si>
    <t>Amounts falling due within one year:</t>
  </si>
  <si>
    <t>Research grants receivables</t>
  </si>
  <si>
    <t>Other trade receivables</t>
  </si>
  <si>
    <t>Other receivables</t>
  </si>
  <si>
    <t>Prepayments and accrued income</t>
  </si>
  <si>
    <t>Amounts due from subsidiary companies</t>
  </si>
  <si>
    <t>Amounts due from concessionary loans</t>
  </si>
  <si>
    <t>Amounts due from associate companies</t>
  </si>
  <si>
    <t>Note: hedge accounting disclosures required if the University adopts hedge accounting</t>
  </si>
  <si>
    <t>Note: Debtors due after one year should be disclosed separately</t>
  </si>
  <si>
    <t>Current Investments</t>
  </si>
  <si>
    <t>At 31 July 201Y the weighted average interest rate of these fixed rate deposits was 4.73% per annum and the remaining weighted average period for which the interest rate is fixed on these deposits was 229 days.  The fair value of these deposits was not materially different from the book value.</t>
  </si>
  <si>
    <t>Creditors : amounts falling due within one year</t>
  </si>
  <si>
    <t>Bank overdraft</t>
  </si>
  <si>
    <t>Secured loans</t>
  </si>
  <si>
    <t>Unsecured loans</t>
  </si>
  <si>
    <t>Obligations under finance leases</t>
  </si>
  <si>
    <t>Service concession arrangements (note 14)</t>
  </si>
  <si>
    <t>Trade payables</t>
  </si>
  <si>
    <t>Social security and other taxation payable</t>
  </si>
  <si>
    <t>Accruals and deferred income</t>
  </si>
  <si>
    <t>[The derivatives relate to forward exchange contracts held at fair value using exchange rates at the balance sheet date]</t>
  </si>
  <si>
    <t>Deferred income</t>
  </si>
  <si>
    <t xml:space="preserve">Included with accruals and deferred income are the following items of income which have been deferred until specific performance related </t>
  </si>
  <si>
    <t>conditions have been met.</t>
  </si>
  <si>
    <t>Donations</t>
  </si>
  <si>
    <t>Research grants received on account</t>
  </si>
  <si>
    <t>Grant income</t>
  </si>
  <si>
    <t>Creditors : amounts falling due after more than one year</t>
  </si>
  <si>
    <t xml:space="preserve">            Year ended 31 July 201Y</t>
  </si>
  <si>
    <t xml:space="preserve">            Year ended 31 July 201X</t>
  </si>
  <si>
    <t>Service concession liabilities due after one year</t>
  </si>
  <si>
    <t>Obligations under finance lease</t>
  </si>
  <si>
    <t>Analysis of secured and unsecured loans:</t>
  </si>
  <si>
    <t>Due between one and two years</t>
  </si>
  <si>
    <t>Due between two and five years</t>
  </si>
  <si>
    <t>Due in five years or more</t>
  </si>
  <si>
    <t>Due after more than one year</t>
  </si>
  <si>
    <t>Secured loans repayable by 20BC</t>
  </si>
  <si>
    <t>Unsecured loans repayable by 20BD</t>
  </si>
  <si>
    <t>The secured loans were all repaid during the year.  Refinancing followed at a lower amount.  Included in loans are the following:</t>
  </si>
  <si>
    <t>Lender</t>
  </si>
  <si>
    <t>Amount</t>
  </si>
  <si>
    <t xml:space="preserve">Term </t>
  </si>
  <si>
    <t>Interest rate</t>
  </si>
  <si>
    <t>Borrower</t>
  </si>
  <si>
    <t>%</t>
  </si>
  <si>
    <t>Bank</t>
  </si>
  <si>
    <t>20BA</t>
  </si>
  <si>
    <t>20AF</t>
  </si>
  <si>
    <t>4.70-7.18</t>
  </si>
  <si>
    <t>20CD</t>
  </si>
  <si>
    <t>0.18 above base</t>
  </si>
  <si>
    <t>Subsidiary</t>
  </si>
  <si>
    <t>[Under the accrual model, deferred capital grants would need to be analysed as deferred income.]</t>
  </si>
  <si>
    <t xml:space="preserve">Provisions for liabilities </t>
  </si>
  <si>
    <t xml:space="preserve">Obligation to </t>
  </si>
  <si>
    <t>Pension</t>
  </si>
  <si>
    <t>Defined Benefit</t>
  </si>
  <si>
    <t>fund deficit on</t>
  </si>
  <si>
    <t>Pension enhancements</t>
  </si>
  <si>
    <t>Obligations</t>
  </si>
  <si>
    <t>Pensions</t>
  </si>
  <si>
    <t>Leasehold</t>
  </si>
  <si>
    <t xml:space="preserve">Total  </t>
  </si>
  <si>
    <t>USS Pension</t>
  </si>
  <si>
    <t>on termination</t>
  </si>
  <si>
    <t>(Note 35)</t>
  </si>
  <si>
    <t>Dilapidation</t>
  </si>
  <si>
    <t>Utilised in year</t>
  </si>
  <si>
    <t>Pension scheme</t>
  </si>
  <si>
    <t>enhancement</t>
  </si>
  <si>
    <t xml:space="preserve">provision under </t>
  </si>
  <si>
    <t xml:space="preserve">Leasehold </t>
  </si>
  <si>
    <r>
      <t xml:space="preserve">The assumptions for calculating the provision for </t>
    </r>
    <r>
      <rPr>
        <b/>
        <sz val="9"/>
        <color theme="1"/>
        <rFont val="Arial"/>
        <family val="2"/>
      </rPr>
      <t xml:space="preserve">pension enhancements on termination </t>
    </r>
    <r>
      <rPr>
        <sz val="9"/>
        <color theme="1"/>
        <rFont val="Arial"/>
        <family val="2"/>
      </rPr>
      <t>under FRS 102, are as follows:</t>
    </r>
  </si>
  <si>
    <t>Discount rate</t>
  </si>
  <si>
    <t>Inflation</t>
  </si>
  <si>
    <t>Restricted net assets relating to endowments are as follows:</t>
  </si>
  <si>
    <t>Restricted permanent endowments</t>
  </si>
  <si>
    <t>Unrestricted permanent endowments</t>
  </si>
  <si>
    <t>Expendable endowments</t>
  </si>
  <si>
    <t>Balances at 1 August 201X</t>
  </si>
  <si>
    <t>Capital</t>
  </si>
  <si>
    <t>Accumulated income</t>
  </si>
  <si>
    <t>Analysis by type of purpose:</t>
  </si>
  <si>
    <t>Lectureships</t>
  </si>
  <si>
    <t>Scholarships and bursaries</t>
  </si>
  <si>
    <t>Research support</t>
  </si>
  <si>
    <t>Prize funds</t>
  </si>
  <si>
    <t>General</t>
  </si>
  <si>
    <t xml:space="preserve">Analysis by asset </t>
  </si>
  <si>
    <t>Property</t>
  </si>
  <si>
    <t>Cash</t>
  </si>
  <si>
    <t>Deficit balances</t>
  </si>
  <si>
    <t>Balances at 31 July 201Y:</t>
  </si>
  <si>
    <t>Ignoble Prize Fund</t>
  </si>
  <si>
    <t>ABC College Arboriculture Fund</t>
  </si>
  <si>
    <t>Restricted Reserves</t>
  </si>
  <si>
    <t>Reserves with restrictions are as follows:</t>
  </si>
  <si>
    <t>New grants</t>
  </si>
  <si>
    <t>New donations</t>
  </si>
  <si>
    <t>Capital grants utilised</t>
  </si>
  <si>
    <t>Analysis of other restricted funds /donations by type of purpose:</t>
  </si>
  <si>
    <t>At 1st August</t>
  </si>
  <si>
    <t xml:space="preserve">Cash </t>
  </si>
  <si>
    <t>At 31st July</t>
  </si>
  <si>
    <t>Flows</t>
  </si>
  <si>
    <t>Capital and other commitments</t>
  </si>
  <si>
    <t>Provision has not been made for the following capital commitments at 31 July 201Y:</t>
  </si>
  <si>
    <t>Commitments contracted for</t>
  </si>
  <si>
    <t>Contingent liabilities</t>
  </si>
  <si>
    <t xml:space="preserve">Guarantees </t>
  </si>
  <si>
    <t>to HSBC plc for Conference Ltd</t>
  </si>
  <si>
    <t>to Barclays for purchase of equipment</t>
  </si>
  <si>
    <t>to Barclays for sale of equipment</t>
  </si>
  <si>
    <t>The University has given written undertakings to support the subsidiary companies at twelve months from the date of approval of these financial statements.</t>
  </si>
  <si>
    <t>Lease obligations</t>
  </si>
  <si>
    <t>Total rentals payable under operating leases:</t>
  </si>
  <si>
    <t>Land and Buildings</t>
  </si>
  <si>
    <t>Other leases</t>
  </si>
  <si>
    <t>Payable during the year</t>
  </si>
  <si>
    <t>Future minimum lease payments due:</t>
  </si>
  <si>
    <t>Not later than 1 year</t>
  </si>
  <si>
    <t>Later than 1 year and not later than 5 years</t>
  </si>
  <si>
    <t>Later than 5 years</t>
  </si>
  <si>
    <t>Total lease payments due</t>
  </si>
  <si>
    <t>Events after the reporting period</t>
  </si>
  <si>
    <t>Subsidiary undertakings</t>
  </si>
  <si>
    <t>The subsidiary companies (all of which are registered in England &amp; Wales), wholly-owned or effectively controlled by the</t>
  </si>
  <si>
    <t>University, are as follows:</t>
  </si>
  <si>
    <t>Company</t>
  </si>
  <si>
    <t>Principal Activity</t>
  </si>
  <si>
    <t>Status</t>
  </si>
  <si>
    <t>Note</t>
  </si>
  <si>
    <t>Ergonomics  Ltd</t>
  </si>
  <si>
    <t>Marketing of the expertise and facilities of the</t>
  </si>
  <si>
    <t>90% owned</t>
  </si>
  <si>
    <t>University in applicable specialist areas.</t>
  </si>
  <si>
    <t>Conference Ltd</t>
  </si>
  <si>
    <t>Management of conference and</t>
  </si>
  <si>
    <t>100% owned</t>
  </si>
  <si>
    <t>related commercial facilities</t>
  </si>
  <si>
    <t xml:space="preserve"> Sports Facilities Ltd</t>
  </si>
  <si>
    <t>Management of sports facilities</t>
  </si>
  <si>
    <t xml:space="preserve"> University Services Ltd</t>
  </si>
  <si>
    <t>Provision of utility and other services</t>
  </si>
  <si>
    <t xml:space="preserve"> University Development Trust</t>
  </si>
  <si>
    <t>Promotion of the charitable purposes of the</t>
  </si>
  <si>
    <t>Limited by</t>
  </si>
  <si>
    <t>guarantee</t>
  </si>
  <si>
    <t>Note the following additional disclosure requirements:</t>
  </si>
  <si>
    <t xml:space="preserve">The basis for concluding that control exists when the University does not own, directly or indirectly through subsidiaries, more than </t>
  </si>
  <si>
    <t>half the voting power.</t>
  </si>
  <si>
    <t xml:space="preserve">Any difference in the reporting date of the financial statements of the parent and its subsidiaries used in the preparation of the </t>
  </si>
  <si>
    <t>consolidated financial statements.</t>
  </si>
  <si>
    <t xml:space="preserve">The nature and extent of any significant restrictions (e.g. resulting from borrowing arrangements or regulatory requirements) on the ability </t>
  </si>
  <si>
    <t>of subsidiaries to transfer funds to the parent University in the form of cash dividends or to repay loans.</t>
  </si>
  <si>
    <t xml:space="preserve">For acquisitions – details in tabular form of class and book values of asset and liabilities acquired and their fair values at acquisition </t>
  </si>
  <si>
    <t>and amount of any goodwill or negative goodwill arising on acquisition.</t>
  </si>
  <si>
    <t>For material acquisitions, show surplus or deficit from beginning of year to date acquired.</t>
  </si>
  <si>
    <t>Connected charitable Institutions</t>
  </si>
  <si>
    <t xml:space="preserve">A number of charitable institutions are administered by or on behalf of the University and have been established for its general or special </t>
  </si>
  <si>
    <t xml:space="preserve">purposes. As a result, under paragraph 28 of Schedule 3 to the Charities Act 2011, these connected institutions are exempt from registration </t>
  </si>
  <si>
    <t>with the Charity Commission.  One of the connected institutions is included as a subsidiary undertaking in these consolidated financial</t>
  </si>
  <si>
    <t xml:space="preserve">statements; the others are not included in the consolidation since the University does not have control over their activities.  The movements </t>
  </si>
  <si>
    <t>in the year on the total funds of all connected institutions, as reported in their own accounts, were as follows:</t>
  </si>
  <si>
    <t>Change in market value</t>
  </si>
  <si>
    <t xml:space="preserve">University Development Trust </t>
  </si>
  <si>
    <t>Not consolidated</t>
  </si>
  <si>
    <t>Midshires Sports Management Trust</t>
  </si>
  <si>
    <t xml:space="preserve">5 bursary funds each with income below £100,000: </t>
  </si>
  <si>
    <t>totals *</t>
  </si>
  <si>
    <t xml:space="preserve">Midshires Sports Management Trust was established in 1999 by four Premier League football clubs to support the University’s Sports </t>
  </si>
  <si>
    <t xml:space="preserve">Management degree courses and students on those courses. The founding clubs each appoint one trustee; the University appoints a trustee </t>
  </si>
  <si>
    <t>and provides administration services.</t>
  </si>
  <si>
    <t xml:space="preserve">* </t>
  </si>
  <si>
    <t>*</t>
  </si>
  <si>
    <t xml:space="preserve">Where appropriate, the analysis of smaller connected institutions into groups (e.g. prize funds, bursary / scholarship funds, research </t>
  </si>
  <si>
    <t>support funds) applies to charities included in the consolidation as well as those not consolidated.</t>
  </si>
  <si>
    <t>Pension Schemes</t>
  </si>
  <si>
    <t>Different categories of staff were eligible to join one of four different schemes:</t>
  </si>
  <si>
    <t>• Universities’ Superannuation Scheme (USS)</t>
  </si>
  <si>
    <t>• University of X Pension Scheme (UXPS)</t>
  </si>
  <si>
    <t>• Federated Superannuation System for Universities (FSSU)</t>
  </si>
  <si>
    <t>• National Health Service Pension Scheme (NHSPS).</t>
  </si>
  <si>
    <t>The two main schemes, being USS and UXPS, are both defined-benefit schemes contracted out of the State Second Pension (S2P) the assets of which are held in separate trustee administered funds.</t>
  </si>
  <si>
    <t>The other two schemes are firstly the Federated Superannuation System for Universities (FSSU), a money purchase scheme contracted into the State Second Pension (S2P), which covered a small number of academic staff who elected not to transfer to USS when the new scheme was established in 1975.</t>
  </si>
  <si>
    <t>£m</t>
  </si>
  <si>
    <t>USS</t>
  </si>
  <si>
    <t>[note that this should reference to</t>
  </si>
  <si>
    <t>UXPS including FRS 102 adjustments</t>
  </si>
  <si>
    <t xml:space="preserve">staff costs except for capitalised </t>
  </si>
  <si>
    <t>Other pension schemes</t>
  </si>
  <si>
    <t>charge]</t>
  </si>
  <si>
    <t>(i)</t>
  </si>
  <si>
    <t>The Universities Superannuation Scheme</t>
  </si>
  <si>
    <t>The assets of the scheme are held in a separate fund administered by the trustee, Universities Superannuation Limited.</t>
  </si>
  <si>
    <t xml:space="preserve">Because of the mutual nature of the scheme, the scheme’s assets are not hypothecated to individual Universities and a scheme-wide contribution rate </t>
  </si>
  <si>
    <t xml:space="preserve">As a result, the amount charged to the income and expenditure account represents the contributions payable to the scheme in respect of the accounting </t>
  </si>
  <si>
    <t>period.</t>
  </si>
  <si>
    <t xml:space="preserve">The University participates in the Universities Superannuation Scheme (USS), a defined benefit scheme which is contracted out of the State Second Pension </t>
  </si>
  <si>
    <t>(S2P). The assets of the scheme are held in a separate fund administrated by the trustee, Universities Superannuation Scheme Limited.</t>
  </si>
  <si>
    <t>The appointment of directors to the board of the trustee is determined by the Company's Articles of Association.  Four of the directors are appointed by Universitides UK; thre are appointed by the University and College Union, of whom at least one must be a USS pensioner member; and a minimum of three and a maximum of five are independent directors appointed by the board.  Under the scheme trust deed and rules, the employer contribution rate is determined by the trustee, acting on actuarial advice.</t>
  </si>
  <si>
    <t xml:space="preserve">The latest triennial actuarial valuation of the scheme was at 31 March 20XX. This was the second valuation for USS under the scheme-specific funding regime </t>
  </si>
  <si>
    <t xml:space="preserve">introduced by the Pensions Act 2004, which requires schemes to adopt a statutory funding objective, which is to have sufficient and appropriate assets to cover </t>
  </si>
  <si>
    <t xml:space="preserve">their technical provisions. The actuary also carries out regular reviews of the funding levels. In particular, he carries out a review of the funding level each year </t>
  </si>
  <si>
    <t>between triennial valuations and details of his estimate of the funding level at 31 March 20XX are also included in this note.</t>
  </si>
  <si>
    <t>Pension Schemes (continued)</t>
  </si>
  <si>
    <t xml:space="preserve">The triennial valuation was carried out using the projected unit method. The assumptions which have the most significant effect on the result </t>
  </si>
  <si>
    <t xml:space="preserve">of the valuation are those relating to the rate of return on investments (i.e. the valuation rate of interest), the rates of increase in salary and </t>
  </si>
  <si>
    <t xml:space="preserve">pensions and the assumed rates of mortality. The financial assumptions were derived from market yields prevailing at the valuation date. </t>
  </si>
  <si>
    <t xml:space="preserve">An “inflation risk premium” adjustment was also included by deducting X% from the market-implied inflation on account of the historically high </t>
  </si>
  <si>
    <t xml:space="preserve">level of inflation implied by government bonds (particularly when compared to the Bank of England’s target of X% for CPI which corresponds </t>
  </si>
  <si>
    <t>broadly to X% for RPI per annum).</t>
  </si>
  <si>
    <t xml:space="preserve">To calculate the technical provisions, it was assumed that the valuation rate of interest would be X% per annum (which includes an additional </t>
  </si>
  <si>
    <t xml:space="preserve">assumed investment return over gilts of X% per annum), salary increases would be X% per annum (plus an additional allowance for increases in </t>
  </si>
  <si>
    <t xml:space="preserve">salaries due to age and promotion reflecting historic scheme experience, with a further cautionary reserve on top for past service liabilities) and </t>
  </si>
  <si>
    <t>pensions would increase by X% per annum thereafter.</t>
  </si>
  <si>
    <t>Standard mortality tables were used as follows:</t>
  </si>
  <si>
    <t>Male members' mortality</t>
  </si>
  <si>
    <t>S1NA ("light) YoB tables - no age rating</t>
  </si>
  <si>
    <t>Female members' mortality</t>
  </si>
  <si>
    <t>S1NA ("light") YoB tables - rates down one year</t>
  </si>
  <si>
    <t>Use of thees mortality tables reasonably reflects the actual USS experience but also provides an element of conservatism to allow for further improvements in mortality rates.  The assume life expectations on retirement at age 65 are:</t>
  </si>
  <si>
    <t>Male (females) currently aged 65</t>
  </si>
  <si>
    <t>23.7 (25.6) years</t>
  </si>
  <si>
    <t>Males (females) currently aged 45</t>
  </si>
  <si>
    <t>25.5 (27.6) years</t>
  </si>
  <si>
    <t>New Entrants</t>
  </si>
  <si>
    <t>Normal Pension Age</t>
  </si>
  <si>
    <t>The normal pension age was increased for future service and new entrants, to age 65.</t>
  </si>
  <si>
    <t>Flexible Retirement</t>
  </si>
  <si>
    <t>Flexible retirement options were introduced.</t>
  </si>
  <si>
    <t>Members contributions increased</t>
  </si>
  <si>
    <t>Contributions were uplifted to x% pa and X% pa for FS Section members and CRB Section members respectively.</t>
  </si>
  <si>
    <t>Cost Sharing</t>
  </si>
  <si>
    <t>Pension increase cap</t>
  </si>
  <si>
    <t>rate was 16% of Salaries.</t>
  </si>
  <si>
    <t xml:space="preserve">As at the valuation date the scheme was still a fully Final Salary Scheme for future accruals and the prevailing employer contribution </t>
  </si>
  <si>
    <t xml:space="preserve">Following UK government legislation, from 2011 statutory pension increases or revaluations are based on the Consumer Prices </t>
  </si>
  <si>
    <t>Index measure of price inflation.  Historically these increases had been based on the Retail Prices Index measure of price inflation.</t>
  </si>
  <si>
    <t xml:space="preserve">Since the valuation effective date there have been a number of changes to the benefits provided by the scheme although these </t>
  </si>
  <si>
    <t>became effective from October 2011.  These include:</t>
  </si>
  <si>
    <t>than a Final Salary (FS) basis.</t>
  </si>
  <si>
    <t xml:space="preserve">Other than specific, limited circumstances, new entrants are now provided benefits on a Career Revalued Benefits (CRB) basis rather </t>
  </si>
  <si>
    <t>would pay the remaining X% to the fund as additional contributions.</t>
  </si>
  <si>
    <t xml:space="preserve">If the total contribution level exceeds X% of Salaries per annum, the employers will pay X% of the excess over X% and members </t>
  </si>
  <si>
    <t xml:space="preserve">For service derived after 30 September 2011, USS will match increases in official pensions for the first X%. If official pensions </t>
  </si>
  <si>
    <t>increase by more than 5% then USS will pay half of the difference up to a maximum increase of X%.</t>
  </si>
  <si>
    <t xml:space="preserve">The scheme-wide contribution rate required for future service benefits alone at the date of the valuation was X% of pensionable </t>
  </si>
  <si>
    <t xml:space="preserve">salaries and the trustee company, on the advice of the actuary, increased the University contribution rate  salaries from 1 October </t>
  </si>
  <si>
    <t>201X.</t>
  </si>
  <si>
    <t xml:space="preserve">The actuary has estimated that the funding level as at 31 March 201Y under the scheme specific funding regime had fallen from </t>
  </si>
  <si>
    <t xml:space="preserve">X% to X% (a deficit of circa £Xm). Over the past twelve months, the funding level has improved from X%, as at 31 March 201X to </t>
  </si>
  <si>
    <t xml:space="preserve">98%. This estimate is based on the funding level at 31 March 201X, adjusted to reflect the fund’s actual investment performance </t>
  </si>
  <si>
    <t xml:space="preserve">over the last  year and changes in market conditions (market conditions affect both the valuation rate of interest and also the </t>
  </si>
  <si>
    <t>inflation assumption which in turn impacts on the salary and pension increase assumptions). The next formal valuation is at 31st</t>
  </si>
  <si>
    <t>March 20XX and this will incorporate updated assumptions agreed by the trustee company.</t>
  </si>
  <si>
    <t xml:space="preserve">With effect from 1 October 201X, new joiners to the scheme join the new revalued benefits section rather than the existing final </t>
  </si>
  <si>
    <t xml:space="preserve">salary section. </t>
  </si>
  <si>
    <t xml:space="preserve">On the FRS 102(28) basis, using an AA bond discount rate of X% per annum based on spot yields, the actuary estimated that the </t>
  </si>
  <si>
    <t xml:space="preserve">funding level at 31 March 201X was X%. An estimate of the funding level measured on a buy-out basis at that date was approximately </t>
  </si>
  <si>
    <t>X%.</t>
  </si>
  <si>
    <t xml:space="preserve">Surpluses or deficits which arise at future valuations may impact on the University’s future contribution commitment. A deficit may </t>
  </si>
  <si>
    <t xml:space="preserve">require additional funding in the form of higher contribution requirements, where a surplus could, perhaps, be used to similarly </t>
  </si>
  <si>
    <t>reduce contribution requirements.</t>
  </si>
  <si>
    <t xml:space="preserve">The sensitivities regarding the principal assumptions used to measure the scheme liabilities on a technical provisions basis as at </t>
  </si>
  <si>
    <t>the date of the last triennial valuation are set out below:</t>
  </si>
  <si>
    <t>Assumption</t>
  </si>
  <si>
    <t>Change in Assumption</t>
  </si>
  <si>
    <t>Impact on scheme</t>
  </si>
  <si>
    <t>Investment return</t>
  </si>
  <si>
    <t>Decrease by 0.25%</t>
  </si>
  <si>
    <t>Increase by £1.6 billion</t>
  </si>
  <si>
    <t>The gap between Retail Price</t>
  </si>
  <si>
    <t>Increase by £1 billion</t>
  </si>
  <si>
    <t>Index and Consumer Price Index</t>
  </si>
  <si>
    <t>Rate of salary growth</t>
  </si>
  <si>
    <t>Increase by 0.25%</t>
  </si>
  <si>
    <t>Increase by £0.6 billion</t>
  </si>
  <si>
    <t xml:space="preserve">Members live loner than </t>
  </si>
  <si>
    <t>1 year longer</t>
  </si>
  <si>
    <t>Increase by 0.8 billion</t>
  </si>
  <si>
    <t>assumed</t>
  </si>
  <si>
    <t>Equity markets in isolation</t>
  </si>
  <si>
    <t>Fall by 25%</t>
  </si>
  <si>
    <t>Increase by £4.6 billion</t>
  </si>
  <si>
    <t xml:space="preserve">USS is a “last man standing” scheme so that in the event of the insolvency of any of the participating employers in USS, the amount of </t>
  </si>
  <si>
    <t>any pension funding shortfall (which cannot otherwise be recovered) in respect of that employer will be spread across the remaining</t>
  </si>
  <si>
    <t>participant employers and reflected in the next actuarial valuation of the scheme.</t>
  </si>
  <si>
    <t xml:space="preserve">The trustee believes that, over the long-term, equity investment and investment in selected alternative asset classes will provide superior returns </t>
  </si>
  <si>
    <t xml:space="preserve">to other investment classes.  The management structure and targets set are designed ot give the fund a major exposure ot equities through </t>
  </si>
  <si>
    <t xml:space="preserve">portfolios that are diversified both geographically and by sector.  The trustee recognises that it would be possible to select investments producing </t>
  </si>
  <si>
    <t xml:space="preserve">income flows broadly similar to the estimated liability cash flows.  However, in order to meet the long-ter funding objective within a level of </t>
  </si>
  <si>
    <t xml:space="preserve">contributions that it considers the employers would be willing to make, the trustee has agreed to take on a degree of investment riks relative to the </t>
  </si>
  <si>
    <t xml:space="preserve">liabilities.  This taking of investment risk seeks to target a greater return than the matching relative to the liabilities.  This taking of investment risk </t>
  </si>
  <si>
    <t xml:space="preserve">seeks to target a greater return that the matching assets would provide whilst maintaining a purdent approach to meeting the funds' liabilities.  </t>
  </si>
  <si>
    <t xml:space="preserve">Before decided to take investment risk relative to the liabilities, the trustee receives advice from its internal investment team, its investment </t>
  </si>
  <si>
    <t>consultant and the scheme actuary, and considers the views of the employers.</t>
  </si>
  <si>
    <t>At 31 March 201Y, USS had over X active members and the University had X active members participating in the scheme.</t>
  </si>
  <si>
    <t xml:space="preserve">The positive cash flow of the scheme means that it is not necessary to realise investments to meet liabilities.  The trustee believes that this, </t>
  </si>
  <si>
    <t xml:space="preserve">together with the ongoing flow of new entrants into the scheme and the strength of covenant of the employers, enables it to take a long-term </t>
  </si>
  <si>
    <t xml:space="preserve">view of its investments.Short-term volatility of returns can be tolerated and need not feed through directly to the contribution rate.  However, </t>
  </si>
  <si>
    <t xml:space="preserve">The total pension cost for the University was £Xm (201Z–1X £Xm). The contribution rate payable by the University was X% of pensionable salaries. </t>
  </si>
  <si>
    <t xml:space="preserve">During the financial year recorded within other Comprehensive Income higher employer contributions to the pension scheme as they included the </t>
  </si>
  <si>
    <t>contributions that would previously have been paid by employees.</t>
  </si>
  <si>
    <t>the trustee is mindful of the difficult economic climate that exists for defined benefits pension schemes currently, and the need to be clear about</t>
  </si>
  <si>
    <t xml:space="preserve"> the responses that are available should the deficits persist and a revised recovery plan become necessary following the next valuation to compile </t>
  </si>
  <si>
    <t xml:space="preserve">a formal financial management plan, which will bring together the various funding strands of covenant strength, investment strategy and funding </t>
  </si>
  <si>
    <t>assumptions, in line with the latest guidance from the Pensions Regulator.</t>
  </si>
  <si>
    <t>(ii) University of X Pension Scheme</t>
  </si>
  <si>
    <t>(Retirement Benefits) Disclosure for the accounting period ending 31 July 201Y</t>
  </si>
  <si>
    <t>University of X Pension Scheme</t>
  </si>
  <si>
    <t>Assumptions</t>
  </si>
  <si>
    <t>The financial assumptions used to calculate scheme liabilities under FRS102 are:</t>
  </si>
  <si>
    <t xml:space="preserve">At 31 July </t>
  </si>
  <si>
    <t>%pa</t>
  </si>
  <si>
    <t>Price Inflation (RPI)</t>
  </si>
  <si>
    <t>X</t>
  </si>
  <si>
    <t>Price Inflation (CPI)</t>
  </si>
  <si>
    <t>Rate of increase in salaries</t>
  </si>
  <si>
    <t>Rate of increase of pensions in payment for UXPS members</t>
  </si>
  <si>
    <t>Rate of increase of pensions in payment for</t>
  </si>
  <si>
    <t>Increases to deferred pensions before retirement</t>
  </si>
  <si>
    <t>* Excluding ex-gratia pensions for non-academics, which are subject to fixed 3% pa increases.</t>
  </si>
  <si>
    <t>Pensioner</t>
  </si>
  <si>
    <t>Non-pensioner</t>
  </si>
  <si>
    <t>(currently aged 45)</t>
  </si>
  <si>
    <t xml:space="preserve">At 31 July 2010 </t>
  </si>
  <si>
    <t>At 31 July 2011</t>
  </si>
  <si>
    <t>Scheme assets and expected rate of return for UXPS</t>
  </si>
  <si>
    <t>The assets in the scheme were:</t>
  </si>
  <si>
    <t>Fair value as at</t>
  </si>
  <si>
    <t>31/07/201Y</t>
  </si>
  <si>
    <t>31/07/201X</t>
  </si>
  <si>
    <t>31/07/201W</t>
  </si>
  <si>
    <t>Equities</t>
  </si>
  <si>
    <t>Government bonds</t>
  </si>
  <si>
    <t>Corporate bonds</t>
  </si>
  <si>
    <t>% pa</t>
  </si>
  <si>
    <t>The weighted average expected</t>
  </si>
  <si>
    <t>long-term rates of return were:</t>
  </si>
  <si>
    <t>The tables below include, where applicable, disclosures for the UXPS and Ex-gratia pensions</t>
  </si>
  <si>
    <t>combined to enable clear presentation. The Ex-gratia pensions account for £Xm of the total</t>
  </si>
  <si>
    <t>liabilities of £Xm and £Xm of the total assets.</t>
  </si>
  <si>
    <t>Analysis of the amount shown in the balance sheet for UXPS and ex-gratia pensions:</t>
  </si>
  <si>
    <t>Scheme assets</t>
  </si>
  <si>
    <t>Scheme liabilities</t>
  </si>
  <si>
    <t>Deficit in the scheme – net pension liability</t>
  </si>
  <si>
    <t>Current service cost</t>
  </si>
  <si>
    <t>Past service costs</t>
  </si>
  <si>
    <t xml:space="preserve">Total operating charge: </t>
  </si>
  <si>
    <t xml:space="preserve">Analysis of the amount charged to interest payable/credited to other finance income for UXPS </t>
  </si>
  <si>
    <t>and ex-gratia pensions</t>
  </si>
  <si>
    <t>Interest cost</t>
  </si>
  <si>
    <t>Expected return on assets</t>
  </si>
  <si>
    <t>Interest on net deficit</t>
  </si>
  <si>
    <t>Net charge to other finance income</t>
  </si>
  <si>
    <t>Total profit and loss charge before deduction for tax</t>
  </si>
  <si>
    <t>Analysis of other comprehensive income for UXPS and ex-gratia pensions:</t>
  </si>
  <si>
    <t>Gain on assets</t>
  </si>
  <si>
    <t>Experience loss on liabilities</t>
  </si>
  <si>
    <t>Loss on liabilities</t>
  </si>
  <si>
    <t xml:space="preserve">Past service credit arising on change of pension increase </t>
  </si>
  <si>
    <t>assumption in 201Z–201X financial year</t>
  </si>
  <si>
    <t>Total other comprehensive income before deduction for tax</t>
  </si>
  <si>
    <t>History of experience gains and losses – UXPS and Ex-gratia pensions</t>
  </si>
  <si>
    <t>Year to</t>
  </si>
  <si>
    <t>Difference between actual and expected return on scheme assets:</t>
  </si>
  <si>
    <t>Amount (£m)</t>
  </si>
  <si>
    <t>% of assets at end of year</t>
  </si>
  <si>
    <t>Experience (gains)/losses on scheme liabilities:</t>
  </si>
  <si>
    <t>% of liabilities at end of year</t>
  </si>
  <si>
    <t xml:space="preserve"> At 31-Jul</t>
  </si>
  <si>
    <t xml:space="preserve">Cumulative actuarial loss recognised as other comprehensive income for UXPS and </t>
  </si>
  <si>
    <t>ex-gratia pensions</t>
  </si>
  <si>
    <t>Cumulative actuarial losses recognised at the start of the year</t>
  </si>
  <si>
    <t>Cumulative actuarial losses recognised at the end of the year</t>
  </si>
  <si>
    <t>Analysis of movement in surplus/(deficit) for UXPS and ex-gratia pensions</t>
  </si>
  <si>
    <t>Deficit at beginning of year</t>
  </si>
  <si>
    <t>Contributions or benefits paid by the University</t>
  </si>
  <si>
    <t xml:space="preserve">Current service cost </t>
  </si>
  <si>
    <t>Past service cost</t>
  </si>
  <si>
    <t>Other finance charge</t>
  </si>
  <si>
    <t>Gain recognised in other comprehensive income</t>
  </si>
  <si>
    <t>Deficit at end of year</t>
  </si>
  <si>
    <t xml:space="preserve">Year to </t>
  </si>
  <si>
    <t>Analysis of movement in the present value of UXPS and ex-gratia liabilities</t>
  </si>
  <si>
    <t>Present value of UXPS and ex-gratia liabilities at the start of the year</t>
  </si>
  <si>
    <t>Current service cost (net of member contributions)</t>
  </si>
  <si>
    <t>Actual member contributions (including notional contributions)</t>
  </si>
  <si>
    <t>Actuarial loss/(gain)</t>
  </si>
  <si>
    <t>Actual benefit payments</t>
  </si>
  <si>
    <t>Present value of UXPS and ex-gratia liabilities at the end of the year</t>
  </si>
  <si>
    <t>Analysis of movement in the fair value of scheme assets</t>
  </si>
  <si>
    <t>Fair value of assets at the start of the year</t>
  </si>
  <si>
    <t>Actuarial gain on assets</t>
  </si>
  <si>
    <t>Actual contributions paid by University</t>
  </si>
  <si>
    <t>Fair value of scheme assets at the end of the year</t>
  </si>
  <si>
    <t>UXPS assets do not include any of the University’s own financial instruments, or any property</t>
  </si>
  <si>
    <t>occupied by the University.</t>
  </si>
  <si>
    <t>Actual return on Scheme assets</t>
  </si>
  <si>
    <t>Expected return on Scheme assets</t>
  </si>
  <si>
    <t>Asset gain/(loss)</t>
  </si>
  <si>
    <t>Estimated contributions for UXPS in the Financial Year 201Y–201W is £4Xm assuming X%</t>
  </si>
  <si>
    <t>member take up in the Salary Sacrifice arrangement.</t>
  </si>
  <si>
    <t>Accounting estimates and judgements</t>
  </si>
  <si>
    <t>[Critical accounting judgements in applying the university’s accounting policies]</t>
  </si>
  <si>
    <t>[Finance, operating leases and service concession arrangements]</t>
  </si>
  <si>
    <t>[Fair values]</t>
  </si>
  <si>
    <t>1 August 201W</t>
  </si>
  <si>
    <t>2007 SORP</t>
  </si>
  <si>
    <t>Benefit arising from the acquisition of ABC College</t>
  </si>
  <si>
    <t xml:space="preserve">Less: Creditors: amounts falling </t>
  </si>
  <si>
    <t>due within one year</t>
  </si>
  <si>
    <t>Service concession liabilities due within one year</t>
  </si>
  <si>
    <t>Other pension liability</t>
  </si>
  <si>
    <t>Other provision</t>
  </si>
  <si>
    <t>Notes to the reconciliation of reserves</t>
  </si>
  <si>
    <t>a)</t>
  </si>
  <si>
    <t>[Explain reconciliating items in the table above.]</t>
  </si>
  <si>
    <t>Reconciliation of surplus/(deficit) for 201X</t>
  </si>
  <si>
    <t>Surplus before tax</t>
  </si>
  <si>
    <t>Surplus after tax</t>
  </si>
  <si>
    <t>Notes to the reconciliation of surplus/(deficit)</t>
  </si>
  <si>
    <t>b)[Explain reconciling items in the table above.]</t>
  </si>
  <si>
    <t xml:space="preserve">[Disclose information about the key assumptions concerning the future and key sources of estimation uncertainty at the balance </t>
  </si>
  <si>
    <t xml:space="preserve">sheet date that may cause material adjustment to the carrying amounts of assets or liabilities within the next financial year such as </t>
  </si>
  <si>
    <t>the next year].</t>
  </si>
  <si>
    <t xml:space="preserve">the following]. Disclosure might include nature of assumptions, sensitivity analysis and range of reasonably possible outcomes within </t>
  </si>
  <si>
    <t>[Recoverability of certain assets/impairment calculations recorded within other Comprehensive Income] [Pension assumptions]</t>
  </si>
  <si>
    <t xml:space="preserve">policies and other notes such as:] </t>
  </si>
  <si>
    <t xml:space="preserve">[In addition to the above, discuss judgements (apart from those involving estimations included above) of the following significant accounting </t>
  </si>
  <si>
    <t>25/26</t>
  </si>
  <si>
    <t xml:space="preserve">                            </t>
  </si>
  <si>
    <t xml:space="preserve">The total liabilities relating to the service concession included in the Balance Sheet as at 31/07/201Y were £9,804,000 (01/08/201X </t>
  </si>
  <si>
    <t>£10,914,000). The sum of £1,110,000 was repaid during the year.</t>
  </si>
  <si>
    <t xml:space="preserve">reduction of £300,000 is as a result of depreciation. </t>
  </si>
  <si>
    <t xml:space="preserve">The asset value of the service concession included in the Balance Sheet as at 31/07/201Y is £11,400,000 (01/08/201X £11,700,000). The </t>
  </si>
  <si>
    <t>than 15% of the acquiring entity</t>
  </si>
  <si>
    <t xml:space="preserve">More detailed disclosures required where a substantial acquisition. This is defined as where net assets or operating surplus are more </t>
  </si>
  <si>
    <t>of the consideration given by the acquiring University; nature of any deferred or contingent consideration.</t>
  </si>
  <si>
    <t xml:space="preserve">Details of acquisitions during the year – name of subsidiary; acquired under acquisition method of accounting; for material and fair value </t>
  </si>
  <si>
    <t xml:space="preserve">The University operates a final salary defined benefit pension scheme that non-academic employees of the value University </t>
  </si>
  <si>
    <t xml:space="preserve">can participate in, called the University of X Pension Scheme. The scheme is externally funded and is contracted out of </t>
  </si>
  <si>
    <t>the State Second Pension (S2P) of pension provision.</t>
  </si>
  <si>
    <t xml:space="preserve">The last formal triennial actuarial valuation of the scheme was performed as at 1 April 201X by a professionally qualified actuary. </t>
  </si>
  <si>
    <t>During the accounting period, the University paid contributions to the pension scheme at the rate of X% of pensionable salaries.</t>
  </si>
  <si>
    <t xml:space="preserve">The University has also contributed the Salary Sacrifice amount, X% of pensionable salaries, for each Non-Contributory member </t>
  </si>
  <si>
    <t>(i.e. those participating in the Salary Sacrifice arrangement). Except for Non-Contributory members, members were required to</t>
  </si>
  <si>
    <t>contribute X% of pensionable salaries. The University also provides ex-gratia pension benefits to certain employees and former</t>
  </si>
  <si>
    <t>employees who previously did not join other pension arrangements. Ex-gratia benefits have now ceased accruing for all such</t>
  </si>
  <si>
    <t>employees. The University currently pays ex-gratia pensions of £X pa. These liabilities are not separately funded.</t>
  </si>
  <si>
    <t xml:space="preserve">The most significant non-financial assumption is the assumed level of longevity. The table below shows the life expectancy </t>
  </si>
  <si>
    <t>assumptions used in the accounting assessments based on the life expectancy of male and female members at age 65.</t>
  </si>
  <si>
    <t>Service concession arrangement
Land and
Buildings
(Note 14)</t>
  </si>
  <si>
    <t>final pensionable salary.</t>
  </si>
  <si>
    <t xml:space="preserve">The Universities’ Superannuation Scheme (USS) is the main scheme covering most academic and academic-related staff, which provides benefits based on </t>
  </si>
  <si>
    <t xml:space="preserve">is set. The University is therefore exposed to actuarial risks associated with other Universitys’ employees and is unable to identify its share of the underlying </t>
  </si>
  <si>
    <t>a defined contribution scheme.</t>
  </si>
  <si>
    <t xml:space="preserve">assets and liabilities of the scheme on a consistent and reasonable basis and therefore, as required by FRS 102(28), accounts for the scheme as if it were </t>
  </si>
  <si>
    <t xml:space="preserve">At the valuation date the value of the assets of the scheme was £Xm and the value of the scheme’s technical provisions was £Xm indicating a </t>
  </si>
  <si>
    <t>increases in earnings.</t>
  </si>
  <si>
    <t xml:space="preserve">surplus of £Xm. The assets therefore were sufficient to cover X% of the benefits which had accrued to members after allowing for expected future </t>
  </si>
  <si>
    <t xml:space="preserve">The actuary also valued the scheme on a number of other bases as at the valuation date. On the scheme’s historic gilts basis, using a valuation rate </t>
  </si>
  <si>
    <t>of interest in respect of past service liabilities of X% per annum (the expected return on gilts) the funding level was approximately X%.</t>
  </si>
  <si>
    <t xml:space="preserve">Under the Pension Protection Fund regulations introduced by the Pensions Act 2004 the scheme was X% funded on a buy-out basis (i.e. assuming </t>
  </si>
  <si>
    <t>the Scheme had discontinued on the valuation date) the assets would have been approximately X% of the amount necessary to secure all the USS</t>
  </si>
  <si>
    <t>per annum based on spot yields, the actuary estimated that the funding level at 31 March 2008 was X%.</t>
  </si>
  <si>
    <t xml:space="preserve">benefits with an insurance company; and using the FRS 102(28) formula as if USS was a single employer scheme, using AA bond discount rate of X% </t>
  </si>
  <si>
    <t xml:space="preserve">As part of this valuation, the trustees have determined, after consultation with the employers, a recovery plan to pay off the shortfall by 31 March 20XX. </t>
  </si>
  <si>
    <t xml:space="preserve">The next formal triennial actuarial valuation is as at 31 March 2014. If experience up to that date is in line with the assumptions made for this current </t>
  </si>
  <si>
    <t xml:space="preserve">actuarial valuation and contributions are paid at the determined rates or amounts, the shortfall at 31 March 2014 is estimated contributions are paid </t>
  </si>
  <si>
    <t>rate will be reviewed as part of each valuation and may be reviewed more frequently.</t>
  </si>
  <si>
    <t xml:space="preserve">at the determined rates or amounts, the shortfall at 31 March 2014 is estimated to be £X billion, equivalent to a funding level of X%.  The contribution </t>
  </si>
  <si>
    <t xml:space="preserve">The technical provisions relate essentially to the past service liabilities and funding levels, but it is also necessary to assess the ongoing cost of newly </t>
  </si>
  <si>
    <t xml:space="preserve">accruing benefits. The cost of future accrual was calculated using the same assumptions as those used to calculate the technical provisions but the </t>
  </si>
  <si>
    <t>allowance for promotional salary increases was not as high.</t>
  </si>
  <si>
    <t xml:space="preserve">Analysis has shown very variable levels of growth over and above general pay increases in recent years, and the salary growth assumption built into </t>
  </si>
  <si>
    <t>cautionary reserve has been included, in addition, on account of the variability mentioned above.</t>
  </si>
  <si>
    <t xml:space="preserve">the cost of future accrual is based on more stable, historic, salary experience.  However, when calculating the past service liabilities of the scheme, a </t>
  </si>
  <si>
    <t xml:space="preserve">The expected return on assets has been derived as the weighted average of the expected returns from each </t>
  </si>
  <si>
    <t xml:space="preserve">of the main asset classes (i.e. equities and bonds). The expected return for each asset class reflects a combination </t>
  </si>
  <si>
    <t xml:space="preserve">of historical performance analysis, the forward looking views of the financial markets (as suggested by the yields </t>
  </si>
  <si>
    <t>available) and the views of investment organisations.</t>
  </si>
  <si>
    <t xml:space="preserve">As explained in the accounting policies, these are the University's first financial statements prepared in accordance with FRS 102 and the SORP. The accounting policies </t>
  </si>
  <si>
    <t xml:space="preserve">set out in Note 1 have been applied in preparing the financial statements for the year ended 201Y, the comparative information presented in these financial statements </t>
  </si>
  <si>
    <t xml:space="preserve">for the year ended 201X and in the preparation of an opening FRS 102 Statement of Financial Position at 1 April 201W. In preparing its FRS 102, SORP based Statement </t>
  </si>
  <si>
    <t xml:space="preserve">of Financial Position, the University has adjusted amounts reported previously in financial statements prepared in accordance with its old basis of accounting (2007 SORP).  </t>
  </si>
  <si>
    <t xml:space="preserve">An explanation of how the transition to FRS 102 and the SORP has affected the University's financial position, financial performance and cash flows is set out in the following </t>
  </si>
  <si>
    <t>tables.</t>
  </si>
  <si>
    <r>
      <t xml:space="preserve">Statement </t>
    </r>
    <r>
      <rPr>
        <b/>
        <sz val="15"/>
        <color rgb="FF201E1F"/>
        <rFont val="Arial"/>
        <family val="2"/>
      </rPr>
      <t xml:space="preserve">of </t>
    </r>
    <r>
      <rPr>
        <b/>
        <sz val="15"/>
        <color rgb="FF383637"/>
        <rFont val="Arial"/>
        <family val="2"/>
      </rPr>
      <t>Accounting Policies (continued)</t>
    </r>
  </si>
  <si>
    <r>
      <t xml:space="preserve">Statement </t>
    </r>
    <r>
      <rPr>
        <b/>
        <sz val="15"/>
        <color rgb="FF201E1F"/>
        <rFont val="Arial"/>
        <family val="2"/>
      </rPr>
      <t xml:space="preserve">of </t>
    </r>
    <r>
      <rPr>
        <b/>
        <sz val="15"/>
        <color rgb="FF383637"/>
        <rFont val="Arial"/>
        <family val="2"/>
      </rPr>
      <t xml:space="preserve">Accounting Policies </t>
    </r>
  </si>
  <si>
    <t>Staff costs (continued)</t>
  </si>
  <si>
    <t>A description of the nature and scale of heritage assets, and the relevant policies, as required by FRS 102(17), should be given subject to</t>
  </si>
  <si>
    <t>materiality.  No illustrations are provided here as the disclosures will vary considerably between Universities.</t>
  </si>
  <si>
    <t>Income recognition (continued)</t>
  </si>
  <si>
    <r>
      <t xml:space="preserve">Total income before endowments and donations </t>
    </r>
    <r>
      <rPr>
        <b/>
        <i/>
        <sz val="9"/>
        <rFont val="Arial"/>
        <family val="2"/>
      </rPr>
      <t>[optional subtotal]</t>
    </r>
  </si>
  <si>
    <r>
      <t xml:space="preserve">Share of net liabilities in associate </t>
    </r>
    <r>
      <rPr>
        <i/>
        <sz val="9"/>
        <rFont val="Arial"/>
        <family val="2"/>
      </rPr>
      <t>[where constructive obligation exists]</t>
    </r>
  </si>
  <si>
    <t>Goodwill</t>
  </si>
  <si>
    <t>Net amount of goodwill and negative goodwill</t>
  </si>
  <si>
    <t xml:space="preserve">The two principal pension schemes for the University's stall are the Universities Superannuation Scheme (USS) and the University of X </t>
  </si>
  <si>
    <t xml:space="preserve">The USS is a multi-employer scheme for which it is not possible to identify the assets and liabilities to University at members due to the </t>
  </si>
  <si>
    <t>Goodwill is amortised over X years representing the remaining estimated economic lives of the long life assets to which the goodwill</t>
  </si>
  <si>
    <t>Goodwill and intangible assets are subject to periodic impairment reviews as appropriate.</t>
  </si>
  <si>
    <r>
      <t xml:space="preserve">relates. </t>
    </r>
    <r>
      <rPr>
        <i/>
        <sz val="12"/>
        <color theme="1"/>
        <rFont val="Arial"/>
        <family val="2"/>
      </rPr>
      <t>[Where the University is unable to make a reliable estimate of the useful life of goodwill, the life shall not exceed 10 years</t>
    </r>
    <r>
      <rPr>
        <sz val="12"/>
        <color theme="1"/>
        <rFont val="Arial"/>
        <family val="2"/>
      </rPr>
      <t>.]</t>
    </r>
  </si>
  <si>
    <t>Intangible assets are amortised over X years representing the remaining estimated economic life of the assets.</t>
  </si>
  <si>
    <t>Research Training Support Grant</t>
  </si>
  <si>
    <t>Other revenue grants</t>
  </si>
  <si>
    <t>Other capital grants</t>
  </si>
  <si>
    <t>Movement on USS provision</t>
  </si>
  <si>
    <t>Compensation payable recorded within staff costs</t>
  </si>
  <si>
    <t xml:space="preserve">the activities of the University. Staff costs includes compensation paid to key management personnel. </t>
  </si>
  <si>
    <t>Key management personnel compensation</t>
  </si>
  <si>
    <t>Loan interest</t>
  </si>
  <si>
    <t>12/13</t>
  </si>
  <si>
    <t xml:space="preserve">The University has an annual occupancy guarantee amounting to committed annual payments of XXXX recorded within other operating </t>
  </si>
  <si>
    <t>expenses.</t>
  </si>
  <si>
    <t>[Or]</t>
  </si>
  <si>
    <t>The University has no minimum guaranteed payment and therefore no asset and liability to recognise on the Balance Sheet.</t>
  </si>
  <si>
    <t>Due within one year or on demand (Note 22)</t>
  </si>
  <si>
    <t>Total secured and unsecured loans</t>
  </si>
  <si>
    <t>[Unwinding of discount is included in additional provisions in line with FRS 102]</t>
  </si>
  <si>
    <t>Additions in 201X/1Y</t>
  </si>
  <si>
    <t>Unused amounts reversed in 201X/1Y</t>
  </si>
  <si>
    <t>The accumulated income relating to the following permanent endowments is currently in deficit. In both cases income to cover these deficits</t>
  </si>
  <si>
    <t xml:space="preserve"> is expected to be received by 31 July 201Z.</t>
  </si>
  <si>
    <t xml:space="preserve">On 1 August 20XX the University merged its activities with those of BA College.  At that date all assets, liabilities and activities of the College were </t>
  </si>
  <si>
    <t xml:space="preserve">transferred to the University and the College was dissolved.  All activities are continuing within the merged University.  Assets valued at £10.5m and </t>
  </si>
  <si>
    <t>liabilities of £3.2m and an operating surplus of £0.75m were transferred.</t>
  </si>
  <si>
    <t>recorded within pension provisions (Note 24)</t>
  </si>
  <si>
    <t>Endowment Reserves</t>
  </si>
  <si>
    <t>Cash &amp; cash equivalents</t>
  </si>
  <si>
    <t>Unspent capital grants</t>
  </si>
  <si>
    <t>Investment income on endowments</t>
  </si>
  <si>
    <t>Investment income on restricted reserves</t>
  </si>
  <si>
    <t>Other investment income</t>
  </si>
  <si>
    <t>Net return on pension scheme</t>
  </si>
  <si>
    <t>Pension enhancement</t>
  </si>
  <si>
    <t>[For each provision include</t>
  </si>
  <si>
    <t>FRS102 (note 35</t>
  </si>
  <si>
    <t>a brief description of the nature of the obligation and the expected amount and timing of any resulting payments</t>
  </si>
  <si>
    <t>an indication of the uncertainties about the amount or timing of those outflows; and</t>
  </si>
  <si>
    <t>the amount of any expected reimbursement, stating the amount of any asset that has been recognised for that expected reimbursement.]</t>
  </si>
  <si>
    <t xml:space="preserve">Further and Higher Education 2015 and in accordance with Financial Reporting Standards (FRS( 102. The University is a public benefit </t>
  </si>
  <si>
    <t>accordance with the historical cost convention (modified by the revaluation of fixed assets and derivative financial instruments).</t>
  </si>
  <si>
    <t xml:space="preserve">entity and  therefore has applied the relevant public benefit requirement of FRS 102. The financial statements are prepared  in </t>
  </si>
  <si>
    <t xml:space="preserve">The consolidated financial statements do not include the income and expenditure of the Students' Union as the University does not exert </t>
  </si>
  <si>
    <t xml:space="preserve">control or dominant influence over policy decisions. [University to consider application to their individual circumstances.] </t>
  </si>
  <si>
    <t>Associated companies and joint ventures are accounted for using the equity method.</t>
  </si>
  <si>
    <t>Grant funding</t>
  </si>
  <si>
    <t xml:space="preserve">Grant funding including funding council block grant, research grants from government sources, grants (including research grants) </t>
  </si>
  <si>
    <t xml:space="preserve">from non government sources are recognised as income when the University is entitled to the income and performance related conditions </t>
  </si>
  <si>
    <t>[OR if the University has adopted the accrual model for government revenue grants]</t>
  </si>
  <si>
    <t>[If the University has adopted the performance model for government revenue grants]</t>
  </si>
  <si>
    <t xml:space="preserve">Government revenue grants including funding council block grant and research grants are recognised in income over the periods in </t>
  </si>
  <si>
    <t xml:space="preserve">deferred it is recognised as deferred income within creditors and allocated between creditors due within one year and due after more </t>
  </si>
  <si>
    <t>than one year as appropriate.</t>
  </si>
  <si>
    <t xml:space="preserve">which the University recognises the related costs for which the grant is intended to compensate. Where part of a government grant is </t>
  </si>
  <si>
    <t xml:space="preserve">have been met. Income received in advance of performance related conditions being met is recognised as deferred income within </t>
  </si>
  <si>
    <t>creditors on the balance sheet and released  to income as the conditions are met.</t>
  </si>
  <si>
    <t xml:space="preserve">Grants (including research grants) from non government sources are recognised in income when the University is entitled to the income </t>
  </si>
  <si>
    <t>and performance related conditions have been met. Income received in advance of performance related conditions being met is</t>
  </si>
  <si>
    <t xml:space="preserve"> recognised as deferred income within creditors on the balance sheet and released  to income as the conditions are met.</t>
  </si>
  <si>
    <t xml:space="preserve">donor imposed restrictions are recognised in income when the University is entitled to the funds.  Income is retained within the restricted </t>
  </si>
  <si>
    <t xml:space="preserve">reserve until such time that it is utilised in line with such restrictions at which point the income is released to general reserves through a </t>
  </si>
  <si>
    <t>reserve transfer.</t>
  </si>
  <si>
    <t>Donations with no restrictions are recognised  in income when the University is entitled to the funds.</t>
  </si>
  <si>
    <t xml:space="preserve">Investment income and appreciation of endowments is recorded in income In the year in which it arises and as either restricted or </t>
  </si>
  <si>
    <t>There are four main types of donations and endowments identified within reserves:</t>
  </si>
  <si>
    <t xml:space="preserve">2. Unrestricted permanent endowments - the donor has specified that the fund is to be permanently invested to generate an income </t>
  </si>
  <si>
    <t>fixed assets, and the University has the power to use the capital</t>
  </si>
  <si>
    <t>[If the University has adopted the performance model for government capital grants]</t>
  </si>
  <si>
    <t xml:space="preserve">Capital grants are recognised in income when the University is entitled to the funds subject to any performance related conditions being </t>
  </si>
  <si>
    <t xml:space="preserve">Government capital grants are recognised in income over the expected useful life of the asset. Other capital grants are recognised </t>
  </si>
  <si>
    <t>in income when the University is entitled to the funds subject to any performance related conditions being met.</t>
  </si>
  <si>
    <t xml:space="preserve">and will have no legal or constructive obligation to pay further amounts. Obligations for contributions to defined contribution pension </t>
  </si>
  <si>
    <t>Defined benefit plans are post-employment benefit plans other than defined contribution plans. Under defined benefit plans, the University’s obligation</t>
  </si>
  <si>
    <t xml:space="preserve"> is to provide the agreed benefits to current and former employees, and actuarial risk (that benefits will cost more or less than expected) </t>
  </si>
  <si>
    <t xml:space="preserve">and investment risk (that returns on assets set aside to fund the benefits will differ from expectations) are borne, in substance, by the </t>
  </si>
  <si>
    <t xml:space="preserve">University. The Group should recognise a liability for its obligations under defined benefit plans net of plan assets. This net defined </t>
  </si>
  <si>
    <t xml:space="preserve">benefit liability is measured as the estimated amount of benefit that employees have earned in return for their service in the current and </t>
  </si>
  <si>
    <t xml:space="preserve">prior periods, discounted to determine its present value, less the fair value (at bid price) of plan assets. The calculation is performed by </t>
  </si>
  <si>
    <t xml:space="preserve">a qualified actuary using the projected unit credit method. Where the calculation results in a net asset, recognition of the asset is limited </t>
  </si>
  <si>
    <t xml:space="preserve">to the extent to which the University is able to recover the surplus either through reduced contributions in the future or through refunds </t>
  </si>
  <si>
    <t>from the plan.</t>
  </si>
  <si>
    <t xml:space="preserve">leases. Leased assets acquired by way of finance lease and the corresponding lease liabilities are initially recognised at an amount equal </t>
  </si>
  <si>
    <t>to the lower of their fair value and the present value of the minimum lease payments at inception of the lease.</t>
  </si>
  <si>
    <t xml:space="preserve">Fixed assets held under service concession arrangements are recognised on the Balance Sheet at the present value of the minimum </t>
  </si>
  <si>
    <t xml:space="preserve">translated to the functional currency at the foreign exchange rate ruling at that date. Foreign exchange differences arising on translation </t>
  </si>
  <si>
    <t xml:space="preserve">the net investment in a foreign operation that is effective, or qualifying cash flow hedges, which are recognised directly in Other </t>
  </si>
  <si>
    <t xml:space="preserve">Comprehensive Income]. Non-monetary assets and liabilities that are measured in terms of historical cost in a foreign currency are </t>
  </si>
  <si>
    <t xml:space="preserve">are recognised in Surplus or Deficit [except for differences arising on the retranslation of a financial liability designated as a hedge of </t>
  </si>
  <si>
    <t>Fixed assets are stated at [cost / deemed cost] less accumulated depreciation and accumulated impairment losses. Certain items of fixed</t>
  </si>
  <si>
    <t xml:space="preserve">Comprehensive Income. </t>
  </si>
  <si>
    <t xml:space="preserve">the dates of the transactions. Exchange differences arising from this translation of foreign operations are reported as an item of Other </t>
  </si>
  <si>
    <t xml:space="preserve">assets that had been revalued to fair value on or prior to the date of transition to the 2015 FE HE SORP, are measured on the basis of </t>
  </si>
  <si>
    <t>deemed cost, being the revalued amount at the date of that revaluation.</t>
  </si>
  <si>
    <t>Where parts of a fixed asset have different useful lives, they are accounted for as separate items of fixed assets.</t>
  </si>
  <si>
    <t xml:space="preserve">Equipment, including computers and software, costing less than de minimus per individual item is recognised as expenditure. All </t>
  </si>
  <si>
    <t>Borrowing costs are recognised as expenditure in the period  in which they are incurred.</t>
  </si>
  <si>
    <t>Borrowing costs which are directly attributable to the acquisition, construction or production of a qualifying asset are capitalised.</t>
  </si>
  <si>
    <t xml:space="preserve"> [or] </t>
  </si>
  <si>
    <r>
      <t xml:space="preserve">Works </t>
    </r>
    <r>
      <rPr>
        <sz val="12"/>
        <color rgb="FF454444"/>
        <rFont val="Arial"/>
        <family val="2"/>
      </rPr>
      <t xml:space="preserve">of art and other </t>
    </r>
    <r>
      <rPr>
        <sz val="12"/>
        <color rgb="FF2E2D2C"/>
        <rFont val="Arial"/>
        <family val="2"/>
      </rPr>
      <t xml:space="preserve">valuable </t>
    </r>
    <r>
      <rPr>
        <sz val="12"/>
        <color rgb="FF454444"/>
        <rFont val="Arial"/>
        <family val="2"/>
      </rPr>
      <t>artefacts [</t>
    </r>
    <r>
      <rPr>
        <sz val="12"/>
        <color rgb="FF2E2D2C"/>
        <rFont val="Arial"/>
        <family val="2"/>
      </rPr>
      <t xml:space="preserve">acquired </t>
    </r>
    <r>
      <rPr>
        <sz val="12"/>
        <color rgb="FF454444"/>
        <rFont val="Arial"/>
        <family val="2"/>
      </rPr>
      <t xml:space="preserve">since </t>
    </r>
    <r>
      <rPr>
        <sz val="12"/>
        <color rgb="FF2E2D2C"/>
        <rFont val="Arial"/>
        <family val="2"/>
      </rPr>
      <t xml:space="preserve">1 </t>
    </r>
    <r>
      <rPr>
        <sz val="12"/>
        <color rgb="FF454444"/>
        <rFont val="Arial"/>
        <family val="2"/>
      </rPr>
      <t xml:space="preserve">August 2007] and </t>
    </r>
    <r>
      <rPr>
        <sz val="12"/>
        <color rgb="FF2E2D2C"/>
        <rFont val="Arial"/>
        <family val="2"/>
      </rPr>
      <t xml:space="preserve">valued </t>
    </r>
    <r>
      <rPr>
        <sz val="12"/>
        <color rgb="FF454444"/>
        <rFont val="Arial"/>
        <family val="2"/>
      </rPr>
      <t xml:space="preserve">at over </t>
    </r>
    <r>
      <rPr>
        <sz val="12"/>
        <color rgb="FF585758"/>
        <rFont val="Arial"/>
        <family val="2"/>
      </rPr>
      <t>£25,00</t>
    </r>
    <r>
      <rPr>
        <sz val="12"/>
        <color rgb="FF2E2D2C"/>
        <rFont val="Arial"/>
        <family val="2"/>
      </rPr>
      <t xml:space="preserve">0 have </t>
    </r>
    <r>
      <rPr>
        <sz val="12"/>
        <color rgb="FF454444"/>
        <rFont val="Arial"/>
        <family val="2"/>
      </rPr>
      <t xml:space="preserve">been capitalised </t>
    </r>
    <r>
      <rPr>
        <sz val="12"/>
        <color rgb="FF2E2D2C"/>
        <rFont val="Arial"/>
        <family val="2"/>
      </rPr>
      <t xml:space="preserve">and </t>
    </r>
  </si>
  <si>
    <t>Investment properties are measured initially at cost and subsequently at fair value with movements recognised in the Surplus or Deficit</t>
  </si>
  <si>
    <t>Properties are not depreciated but are revalued or reviewed annually according to market conditions as at 31 July each year.</t>
  </si>
  <si>
    <t>Non current asset investments are held on the Balance Sheet at amortised cost less impairment.</t>
  </si>
  <si>
    <t xml:space="preserve">Investments in [jointly controlled entities, associates and subsidiaries] are carried at [cost less impairment.] in the University's accounts. </t>
  </si>
  <si>
    <t>Current asset investments are held at fair value with movements recognised in the Surplus or Deficit.</t>
  </si>
  <si>
    <t xml:space="preserve">The University accounts for its share of transactions from joint operations and jointly controlled assets in the Consolidated Statement of </t>
  </si>
  <si>
    <t>Income and Expenditure.</t>
  </si>
  <si>
    <t>Derivatives are held on the balance sheet at fair value with movements in fair value recorded in the Surplus or Deficit.</t>
  </si>
  <si>
    <t xml:space="preserve">[Or] </t>
  </si>
  <si>
    <t xml:space="preserve">Derivatives are held on the Balance Sheet at fair value. The University has adopted and complied with the requirements of hedge </t>
  </si>
  <si>
    <t>accounting and as a result movements in fair value are recorded within Other Comprehensive Income.</t>
  </si>
  <si>
    <t>Reserves are classified as restricted or unrestricted. Restricted endowment reserves include balances which, through endowment</t>
  </si>
  <si>
    <t xml:space="preserve">Other restricted reserves include balances where the donor has designated a specific purpose and therefore the University is </t>
  </si>
  <si>
    <t>to the University, are held as a permanently restricted fund which the University must hold in perpetuity.</t>
  </si>
  <si>
    <t>Current and non-current asset investments</t>
  </si>
  <si>
    <t>Amortisation of intangibles</t>
  </si>
  <si>
    <t>Increase/(decrease) in pension provision</t>
  </si>
  <si>
    <t>Increase/(decrease) in other provisions</t>
  </si>
  <si>
    <t>Proceeds from sales of intangible assets</t>
  </si>
  <si>
    <t>Disposal of non-current asset investments</t>
  </si>
  <si>
    <t>New non-current asset investments</t>
  </si>
  <si>
    <t>New deposits</t>
  </si>
  <si>
    <t>New unsecured loans</t>
  </si>
  <si>
    <t>Finance lease interest (including service concession finance charge)</t>
  </si>
  <si>
    <t>Software</t>
  </si>
  <si>
    <t>USS deficit</t>
  </si>
  <si>
    <t xml:space="preserve">The obligation to fund the past deficit on the Universitys' Superannuation Scheme (USS) arises from the contractual obligation with the pension scheme for total payments relating to </t>
  </si>
  <si>
    <t xml:space="preserve">benefits arising from past performance. Management have assessed future employees within the USS scheme and salary payment over the period of the contracted obligation in </t>
  </si>
  <si>
    <t xml:space="preserve">assessing the value of this provision. </t>
  </si>
  <si>
    <t>Adjustment in respect of previous years</t>
  </si>
  <si>
    <t>Payments made to acquire intangible assets</t>
  </si>
  <si>
    <t>Share of operating (surplus)/deficit in joint venture</t>
  </si>
  <si>
    <t>Share of operating (surplus)/deficit in associate</t>
  </si>
  <si>
    <t>Consolidated and University Balance Sheet</t>
  </si>
  <si>
    <t>Release of restricted funds spent in year</t>
  </si>
  <si>
    <t>Gain/(loss) on investments</t>
  </si>
  <si>
    <t>Other income (adjusted to exclude income from joint ventures)</t>
  </si>
  <si>
    <t>Total income before donations and endowments</t>
  </si>
  <si>
    <t>Endowment assets</t>
  </si>
  <si>
    <t>Deferred capital grants</t>
  </si>
  <si>
    <t>Less: Share of income from joint ventures</t>
  </si>
  <si>
    <t>Net income</t>
  </si>
  <si>
    <t>Government (UK and overseas)</t>
  </si>
  <si>
    <t xml:space="preserve">Research councils  </t>
  </si>
  <si>
    <t>[Universities should decide which grants/contracts to separately disclose]</t>
  </si>
  <si>
    <t>Research charities</t>
  </si>
  <si>
    <t xml:space="preserve"> [Universities should decide which grants/contracts to separately disclose]</t>
  </si>
  <si>
    <t xml:space="preserve"> [Universities should decide whether other income requires analysis in greater detail]</t>
  </si>
  <si>
    <t xml:space="preserve"> [Universities should decide whether to provide further detail about the source of funding body capital grants]</t>
  </si>
  <si>
    <t>[The additions figure includes £Xm of borrowing costs capitalised in year.]</t>
  </si>
  <si>
    <t>Endowment income</t>
  </si>
  <si>
    <t>Endowment cash received</t>
  </si>
  <si>
    <t>Transition to 2015 SORP</t>
  </si>
  <si>
    <t>[OR]</t>
  </si>
  <si>
    <t>Change in accounting policy</t>
  </si>
  <si>
    <t>(i) for the current period;</t>
  </si>
  <si>
    <t>(ii) for each prior period presented; and</t>
  </si>
  <si>
    <t>(iii) in the aggregate for periods before those presented; and</t>
  </si>
  <si>
    <t xml:space="preserve">The University is preparing its financial statements in accordance with the following [new accounting standards / changes to the SORP] </t>
  </si>
  <si>
    <t>for the first time in 201X/1Y.</t>
  </si>
  <si>
    <t>The University has changed its accounting policy in relation to [description of policy] in 201X/1Y. [Give reason for the change.]</t>
  </si>
  <si>
    <t>[In both cases disclosures should included</t>
  </si>
  <si>
    <t>to the extent practicable, the amount of the adjustment for each financial statement line item affected, shown separately:</t>
  </si>
  <si>
    <t>(a)</t>
  </si>
  <si>
    <t>(b)</t>
  </si>
  <si>
    <t>an explanation if it is impracticable to determine the amounts to be disclosed in (a) above.]</t>
  </si>
  <si>
    <t>[Details of new or amended accounting standards and the nature of the change]</t>
  </si>
  <si>
    <t>Transition to FRS102 and the 2015 SORP [NOTE a seperate disclosure is required for group and university]</t>
  </si>
  <si>
    <t>Financial position</t>
  </si>
  <si>
    <t>Total reserves under 2007 SORP</t>
  </si>
  <si>
    <t>USS pension provision</t>
  </si>
  <si>
    <t>Employee leave accrual</t>
  </si>
  <si>
    <t>[List changes as relevant, for example:</t>
  </si>
  <si>
    <t>Endowments</t>
  </si>
  <si>
    <t>Endowments]</t>
  </si>
  <si>
    <t>Total reserves under 2015 SORP</t>
  </si>
  <si>
    <t>Total effect of transition to FRS 102</t>
  </si>
  <si>
    <t>Financial performance</t>
  </si>
  <si>
    <t>Surplus for the year under 2007 SORP</t>
  </si>
  <si>
    <t>in the STRGL under the 2007 SORP.]</t>
  </si>
  <si>
    <t>Universities may wish to show separately items included</t>
  </si>
  <si>
    <t>Cash Flows</t>
  </si>
  <si>
    <t>Total comprehensive income for the year under 2015 SORP</t>
  </si>
  <si>
    <t>[If a more detailed analysis of the effect of transition to FRS 102 is required then the format on the following two pages may be used.]</t>
  </si>
  <si>
    <t>The only impact of the transition to FRS 102 on the cash flows of the University or the Group is the reclassification of some short term investments to cash and cash equivalents as shown above.</t>
  </si>
  <si>
    <t>Cash equivalents</t>
  </si>
  <si>
    <t>[Wording will need to be updated for 2015/16 year end]</t>
  </si>
  <si>
    <t>Effect of transition to 2015 SORP</t>
  </si>
  <si>
    <t>2015 SORP</t>
  </si>
  <si>
    <t>STRGL Items*</t>
  </si>
  <si>
    <t xml:space="preserve">* This column represents items that were previously recorded within the Statement of Total Recognised Gains and Losses (STRGL)  and are </t>
  </si>
  <si>
    <t xml:space="preserve">now recorded within the statement of Comprehensive Income (SoCI). This column should not include recognition of valuation changes arising </t>
  </si>
  <si>
    <t>from the adoption of the 2015 SORP. These are included within the effect of transition to 2015 SORP column.</t>
  </si>
  <si>
    <t>[These model financial statements do not deal with total return accounting for endowments.]</t>
  </si>
  <si>
    <t>The proforma financial statements do not include the disclosures required by paragraph 3.24 of FRS102.</t>
  </si>
  <si>
    <t>Institutions should ensure that the the legal form of the entity, its country of incorporation and the address of its</t>
  </si>
  <si>
    <t>registered office are disclosed</t>
  </si>
  <si>
    <t>Short term investment in shares</t>
  </si>
  <si>
    <t>Short term bonds</t>
  </si>
  <si>
    <t>Short term deposits</t>
  </si>
  <si>
    <t>NB: These model statements have been produced by BUFDG for BUFDG members to assist institutions implement FRS102 and the new SORP.  
It is for each institution to exercise its own professional judgement and take responsibility for applying FRS102 and the new SORP. 
This document has not been considered or approved by the SORP Board and is expected to be updated from time to time by BUFDG Financial Reporting Group.</t>
  </si>
  <si>
    <t>Total endowment comprehensive income for the year</t>
  </si>
  <si>
    <t>(Decrease) / increase in market value of investments</t>
  </si>
  <si>
    <t>Total restricted comprehensive income for the year</t>
  </si>
  <si>
    <t xml:space="preserve">   Revaluation reserve comprehensive income for the year</t>
  </si>
  <si>
    <t>Capital grant income</t>
  </si>
  <si>
    <t>Capital grants receipts</t>
  </si>
  <si>
    <t>Skills Funding Agency</t>
  </si>
  <si>
    <t xml:space="preserve">Intangible assets </t>
  </si>
  <si>
    <t>Consolidated and University Cash Flow</t>
  </si>
  <si>
    <t>Interest element of finance lease and service concession payments</t>
  </si>
  <si>
    <t>Capital element of finance lease and service concession payments</t>
  </si>
  <si>
    <t>Attributable to the University</t>
  </si>
  <si>
    <t>Attributable to the non-controlling interest</t>
  </si>
  <si>
    <t>[Note that compensation consists of salary and benefits including any employer's pension contribution]</t>
  </si>
  <si>
    <t>Deposits are held with banks and building societies operating in the London market and licensed by the Financial Services Authority with less than three months maturity at the balance sheet date.  The interest rates for these deposits are fixed for the duration of the deposit at time of placement.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</si>
</sst>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0;\(#,##0\)"/>
    <numFmt numFmtId="165" formatCode="#,##0\ ;\(#,##0\)"/>
    <numFmt numFmtId="166" formatCode="0_);\(0\)"/>
    <numFmt numFmtId="167" formatCode="#,##0_);\(#,##0\);&quot;  -  &quot;"/>
    <numFmt numFmtId="168" formatCode="#,##0_);\(#,##0\);&quot;    -    &quot;"/>
    <numFmt numFmtId="169" formatCode="#,##0,\ ;\(#,##0,\);&quot;- &quot;"/>
    <numFmt numFmtId="170" formatCode="_-* #,##0_-;\-* #,##0_-;_-* &quot;-&quot;??_-;_-@_-"/>
    <numFmt numFmtId="171" formatCode="_-* #,##0_-\ ;\(\ #,##0\)_-;_-* &quot;-&quot;??_-;_-@_-"/>
    <numFmt numFmtId="172" formatCode="#,##0\ ;\(#,##0\);&quot;- &quot;"/>
  </numFmts>
  <fonts count="73">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sz val="10"/>
      <name val="Arial"/>
      <family val="2"/>
    </font>
    <font>
      <sz val="9"/>
      <name val="Arial"/>
      <family val="2"/>
    </font>
    <font>
      <sz val="8"/>
      <name val="Arial"/>
      <family val="2"/>
    </font>
    <font>
      <b/>
      <sz val="9"/>
      <name val="Arial"/>
      <family val="2"/>
    </font>
    <font>
      <strike/>
      <sz val="9"/>
      <name val="Arial"/>
      <family val="2"/>
    </font>
    <font>
      <b/>
      <sz val="8"/>
      <name val="Arial"/>
      <family val="2"/>
    </font>
    <font>
      <b/>
      <sz val="18"/>
      <name val="Arial"/>
      <family val="2"/>
    </font>
    <font>
      <b/>
      <sz val="10"/>
      <name val="Arial"/>
      <family val="2"/>
    </font>
    <font>
      <b/>
      <sz val="14"/>
      <name val="Arial"/>
      <family val="2"/>
    </font>
    <font>
      <i/>
      <sz val="10"/>
      <name val="Arial"/>
      <family val="2"/>
    </font>
    <font>
      <b/>
      <sz val="20"/>
      <name val="Arial"/>
      <family val="2"/>
    </font>
    <font>
      <b/>
      <strike/>
      <sz val="9"/>
      <name val="Arial"/>
      <family val="2"/>
    </font>
    <font>
      <sz val="14"/>
      <name val="Arial"/>
      <family val="2"/>
    </font>
    <font>
      <sz val="12"/>
      <name val="Arial"/>
      <family val="2"/>
    </font>
    <font>
      <sz val="9"/>
      <color indexed="10"/>
      <name val="Arial"/>
      <family val="2"/>
    </font>
    <font>
      <sz val="9"/>
      <name val="Geneva"/>
    </font>
    <font>
      <b/>
      <sz val="9"/>
      <name val="Geneva"/>
    </font>
    <font>
      <sz val="18"/>
      <name val="Arial"/>
      <family val="2"/>
    </font>
    <font>
      <b/>
      <sz val="9"/>
      <color indexed="10"/>
      <name val="Arial"/>
      <family val="2"/>
    </font>
    <font>
      <sz val="12"/>
      <name val="Times New Roman"/>
      <family val="1"/>
    </font>
    <font>
      <b/>
      <sz val="9"/>
      <color theme="3" tint="0.39997558519241921"/>
      <name val="Arial"/>
      <family val="2"/>
    </font>
    <font>
      <sz val="9"/>
      <color theme="1"/>
      <name val="Arial"/>
      <family val="2"/>
    </font>
    <font>
      <b/>
      <sz val="9"/>
      <color theme="1"/>
      <name val="Arial"/>
      <family val="2"/>
    </font>
    <font>
      <sz val="8"/>
      <color rgb="FF000000"/>
      <name val="Arial"/>
      <family val="2"/>
    </font>
    <font>
      <b/>
      <sz val="14"/>
      <color rgb="FFFF0000"/>
      <name val="Arial"/>
      <family val="2"/>
    </font>
    <font>
      <sz val="10"/>
      <color theme="1"/>
      <name val="Corbel"/>
      <family val="2"/>
    </font>
    <font>
      <b/>
      <sz val="12"/>
      <name val="Arial"/>
      <family val="2"/>
    </font>
    <font>
      <i/>
      <sz val="12"/>
      <name val="Arial"/>
      <family val="2"/>
    </font>
    <font>
      <sz val="12"/>
      <color rgb="FF000000"/>
      <name val="Arial"/>
      <family val="2"/>
    </font>
    <font>
      <b/>
      <sz val="12"/>
      <color rgb="FFFF0000"/>
      <name val="Arial"/>
      <family val="2"/>
    </font>
    <font>
      <sz val="12"/>
      <color theme="1"/>
      <name val="Arial"/>
      <family val="2"/>
    </font>
    <font>
      <sz val="10"/>
      <name val="Arial"/>
      <family val="2"/>
    </font>
    <font>
      <b/>
      <sz val="15"/>
      <color rgb="FF383637"/>
      <name val="Arial"/>
      <family val="2"/>
    </font>
    <font>
      <b/>
      <sz val="15"/>
      <color rgb="FF201E1F"/>
      <name val="Arial"/>
      <family val="2"/>
    </font>
    <font>
      <sz val="11.5"/>
      <color theme="1"/>
      <name val="Arial"/>
      <family val="2"/>
    </font>
    <font>
      <b/>
      <sz val="12"/>
      <color theme="1"/>
      <name val="Arial"/>
      <family val="2"/>
    </font>
    <font>
      <sz val="12"/>
      <color rgb="FF282527"/>
      <name val="Arial"/>
      <family val="2"/>
    </font>
    <font>
      <sz val="12"/>
      <color rgb="FF3E3C3D"/>
      <name val="Arial"/>
      <family val="2"/>
    </font>
    <font>
      <sz val="12"/>
      <color rgb="FF2E2D2C"/>
      <name val="Arial"/>
      <family val="2"/>
    </font>
    <font>
      <sz val="12"/>
      <color rgb="FF454444"/>
      <name val="Arial"/>
      <family val="2"/>
    </font>
    <font>
      <sz val="12"/>
      <color rgb="FF585758"/>
      <name val="Arial"/>
      <family val="2"/>
    </font>
    <font>
      <sz val="12"/>
      <color theme="1"/>
      <name val="Calibri"/>
      <family val="2"/>
      <scheme val="minor"/>
    </font>
    <font>
      <sz val="12"/>
      <color indexed="8"/>
      <name val="Arial"/>
      <family val="2"/>
    </font>
    <font>
      <b/>
      <strike/>
      <sz val="5"/>
      <name val="Arial"/>
      <family val="2"/>
    </font>
    <font>
      <sz val="5"/>
      <name val="Arial"/>
      <family val="2"/>
    </font>
    <font>
      <b/>
      <sz val="9"/>
      <color rgb="FFFF0000"/>
      <name val="Arial"/>
      <family val="2"/>
    </font>
    <font>
      <sz val="9"/>
      <color rgb="FFFF0000"/>
      <name val="Arial"/>
      <family val="2"/>
    </font>
    <font>
      <sz val="7"/>
      <name val="Arial"/>
      <family val="2"/>
    </font>
    <font>
      <b/>
      <i/>
      <sz val="9"/>
      <name val="Arial"/>
      <family val="2"/>
    </font>
    <font>
      <u/>
      <sz val="10"/>
      <color indexed="12"/>
      <name val="Arial"/>
      <family val="2"/>
    </font>
    <font>
      <sz val="9"/>
      <name val="Times New Roman"/>
      <family val="1"/>
    </font>
    <font>
      <b/>
      <sz val="8"/>
      <color rgb="FF000000"/>
      <name val="Arial"/>
      <family val="2"/>
    </font>
    <font>
      <i/>
      <sz val="9"/>
      <name val="Arial"/>
      <family val="2"/>
    </font>
    <font>
      <sz val="9"/>
      <color rgb="FF000000"/>
      <name val="Arial"/>
      <family val="2"/>
    </font>
    <font>
      <b/>
      <sz val="9"/>
      <color rgb="FF000000"/>
      <name val="Arial"/>
      <family val="2"/>
    </font>
    <font>
      <sz val="8"/>
      <color indexed="10"/>
      <name val="Arial"/>
      <family val="2"/>
    </font>
    <font>
      <sz val="18"/>
      <color rgb="FFFF0000"/>
      <name val="Arial"/>
      <family val="2"/>
    </font>
    <font>
      <b/>
      <sz val="12"/>
      <color rgb="FF000000"/>
      <name val="Arial"/>
      <family val="2"/>
    </font>
    <font>
      <b/>
      <sz val="12"/>
      <color theme="1"/>
      <name val="Calibri"/>
      <family val="2"/>
      <scheme val="minor"/>
    </font>
    <font>
      <sz val="10"/>
      <color theme="1"/>
      <name val="Calibri"/>
      <family val="2"/>
      <scheme val="minor"/>
    </font>
    <font>
      <i/>
      <sz val="12"/>
      <color theme="1"/>
      <name val="Arial"/>
      <family val="2"/>
    </font>
    <font>
      <i/>
      <sz val="11"/>
      <color theme="1"/>
      <name val="Calibri"/>
      <family val="2"/>
      <scheme val="minor"/>
    </font>
    <font>
      <sz val="11"/>
      <color rgb="FF231F20"/>
      <name val="AdvArial"/>
    </font>
    <font>
      <sz val="9"/>
      <color indexed="81"/>
      <name val="Tahoma"/>
      <family val="2"/>
    </font>
    <font>
      <b/>
      <sz val="9"/>
      <color indexed="81"/>
      <name val="Tahoma"/>
      <family val="2"/>
    </font>
    <font>
      <b/>
      <u/>
      <sz val="9"/>
      <name val="Arial"/>
      <family val="2"/>
    </font>
    <font>
      <u/>
      <sz val="9"/>
      <name val="Arial"/>
      <family val="2"/>
    </font>
    <font>
      <b/>
      <sz val="12"/>
      <color rgb="FF00338D"/>
      <name val="Arial"/>
      <family val="2"/>
    </font>
    <font>
      <b/>
      <sz val="18"/>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s>
  <borders count="37">
    <border>
      <left/>
      <right/>
      <top/>
      <bottom/>
      <diagonal/>
    </border>
    <border>
      <left/>
      <right/>
      <top/>
      <bottom style="thin">
        <color indexed="64"/>
      </bottom>
      <diagonal/>
    </border>
    <border>
      <left/>
      <right/>
      <top/>
      <bottom style="medium">
        <color indexed="8"/>
      </bottom>
      <diagonal/>
    </border>
    <border>
      <left/>
      <right/>
      <top style="thin">
        <color indexed="64"/>
      </top>
      <bottom style="double">
        <color indexed="64"/>
      </bottom>
      <diagonal/>
    </border>
    <border>
      <left/>
      <right/>
      <top style="thin">
        <color indexed="8"/>
      </top>
      <bottom style="double">
        <color indexed="8"/>
      </bottom>
      <diagonal/>
    </border>
    <border>
      <left/>
      <right/>
      <top/>
      <bottom style="double">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double">
        <color indexed="8"/>
      </bottom>
      <diagonal/>
    </border>
    <border>
      <left/>
      <right/>
      <top/>
      <bottom style="medium">
        <color rgb="FF000000"/>
      </bottom>
      <diagonal/>
    </border>
    <border>
      <left/>
      <right/>
      <top style="thin">
        <color auto="1"/>
      </top>
      <bottom/>
      <diagonal/>
    </border>
    <border>
      <left/>
      <right/>
      <top style="thin">
        <color auto="1"/>
      </top>
      <bottom style="double">
        <color auto="1"/>
      </bottom>
      <diagonal/>
    </border>
    <border>
      <left/>
      <right/>
      <top/>
      <bottom style="medium">
        <color auto="1"/>
      </bottom>
      <diagonal/>
    </border>
    <border>
      <left/>
      <right/>
      <top/>
      <bottom style="thin">
        <color auto="1"/>
      </bottom>
      <diagonal/>
    </border>
    <border>
      <left/>
      <right/>
      <top style="thin">
        <color auto="1"/>
      </top>
      <bottom style="thin">
        <color auto="1"/>
      </bottom>
      <diagonal/>
    </border>
    <border>
      <left/>
      <right/>
      <top style="thin">
        <color indexed="8"/>
      </top>
      <bottom style="double">
        <color indexed="8"/>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right/>
      <top style="medium">
        <color auto="1"/>
      </top>
      <bottom/>
      <diagonal/>
    </border>
    <border>
      <left/>
      <right/>
      <top style="thin">
        <color indexed="8"/>
      </top>
      <bottom style="thin">
        <color auto="1"/>
      </bottom>
      <diagonal/>
    </border>
    <border>
      <left/>
      <right/>
      <top style="thin">
        <color auto="1"/>
      </top>
      <bottom style="thin">
        <color auto="1"/>
      </bottom>
      <diagonal/>
    </border>
    <border>
      <left/>
      <right/>
      <top style="thin">
        <color indexed="64"/>
      </top>
      <bottom/>
      <diagonal/>
    </border>
    <border>
      <left/>
      <right/>
      <top style="thin">
        <color auto="1"/>
      </top>
      <bottom/>
      <diagonal/>
    </border>
    <border>
      <left/>
      <right/>
      <top style="thin">
        <color auto="1"/>
      </top>
      <bottom style="thin">
        <color auto="1"/>
      </bottom>
      <diagonal/>
    </border>
    <border>
      <left/>
      <right/>
      <top/>
      <bottom style="medium">
        <color indexed="8"/>
      </bottom>
      <diagonal/>
    </border>
    <border>
      <left/>
      <right/>
      <top style="thin">
        <color auto="1"/>
      </top>
      <bottom/>
      <diagonal/>
    </border>
    <border>
      <left/>
      <right/>
      <top style="thin">
        <color auto="1"/>
      </top>
      <bottom style="double">
        <color auto="1"/>
      </bottom>
      <diagonal/>
    </border>
    <border>
      <left/>
      <right/>
      <top style="thin">
        <color auto="1"/>
      </top>
      <bottom/>
      <diagonal/>
    </border>
    <border>
      <left/>
      <right/>
      <top style="thin">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auto="1"/>
      </top>
      <bottom style="double">
        <color auto="1"/>
      </bottom>
      <diagonal/>
    </border>
  </borders>
  <cellStyleXfs count="10">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29" fillId="0" borderId="0"/>
    <xf numFmtId="0" fontId="35" fillId="0" borderId="0"/>
    <xf numFmtId="43" fontId="4" fillId="0" borderId="0" applyFont="0" applyFill="0" applyBorder="0" applyAlignment="0" applyProtection="0"/>
    <xf numFmtId="0" fontId="4" fillId="0" borderId="0"/>
    <xf numFmtId="0" fontId="53" fillId="0" borderId="0" applyNumberFormat="0" applyFill="0" applyBorder="0" applyAlignment="0" applyProtection="0">
      <alignment vertical="top"/>
      <protection locked="0"/>
    </xf>
  </cellStyleXfs>
  <cellXfs count="847">
    <xf numFmtId="0" fontId="0" fillId="0" borderId="0" xfId="0"/>
    <xf numFmtId="0" fontId="3" fillId="0" borderId="0" xfId="0" applyFont="1"/>
    <xf numFmtId="3" fontId="5" fillId="0" borderId="2" xfId="2" applyNumberFormat="1" applyFont="1" applyFill="1" applyBorder="1"/>
    <xf numFmtId="3" fontId="10" fillId="0" borderId="0" xfId="2" applyNumberFormat="1" applyFont="1" applyFill="1"/>
    <xf numFmtId="3" fontId="12" fillId="0" borderId="0" xfId="2" applyNumberFormat="1" applyFont="1" applyFill="1" applyBorder="1"/>
    <xf numFmtId="3" fontId="4" fillId="0" borderId="2" xfId="2" applyNumberFormat="1" applyFont="1" applyFill="1" applyBorder="1"/>
    <xf numFmtId="37" fontId="7" fillId="2" borderId="0" xfId="2" applyNumberFormat="1" applyFont="1" applyFill="1"/>
    <xf numFmtId="37" fontId="10" fillId="2" borderId="0" xfId="2" applyNumberFormat="1" applyFont="1" applyFill="1"/>
    <xf numFmtId="37" fontId="12" fillId="2" borderId="0" xfId="2" applyNumberFormat="1" applyFont="1" applyFill="1" applyBorder="1"/>
    <xf numFmtId="37" fontId="14" fillId="2" borderId="2" xfId="2" applyNumberFormat="1" applyFont="1" applyFill="1" applyBorder="1"/>
    <xf numFmtId="37" fontId="5" fillId="2" borderId="2" xfId="2" applyNumberFormat="1" applyFont="1" applyFill="1" applyBorder="1"/>
    <xf numFmtId="164" fontId="10" fillId="2" borderId="0" xfId="2" applyNumberFormat="1" applyFont="1" applyFill="1"/>
    <xf numFmtId="164" fontId="12" fillId="2" borderId="0" xfId="2" applyNumberFormat="1" applyFont="1" applyFill="1" applyBorder="1"/>
    <xf numFmtId="164" fontId="6" fillId="2" borderId="2" xfId="2" applyNumberFormat="1" applyFont="1" applyFill="1" applyBorder="1"/>
    <xf numFmtId="0" fontId="5" fillId="0" borderId="0" xfId="2" applyFont="1"/>
    <xf numFmtId="14" fontId="5" fillId="0" borderId="0" xfId="2" applyNumberFormat="1" applyFont="1"/>
    <xf numFmtId="0" fontId="7" fillId="0" borderId="0" xfId="2" applyFont="1"/>
    <xf numFmtId="164" fontId="5" fillId="0" borderId="0" xfId="2" applyNumberFormat="1" applyFont="1" applyAlignment="1">
      <alignment horizontal="right"/>
    </xf>
    <xf numFmtId="164" fontId="5" fillId="0" borderId="3" xfId="2" applyNumberFormat="1" applyFont="1" applyBorder="1" applyAlignment="1">
      <alignment horizontal="right"/>
    </xf>
    <xf numFmtId="164" fontId="17" fillId="0" borderId="0" xfId="2" applyNumberFormat="1" applyFont="1" applyFill="1"/>
    <xf numFmtId="164" fontId="17" fillId="0" borderId="0" xfId="2" applyNumberFormat="1" applyFont="1" applyFill="1" applyBorder="1" applyAlignment="1">
      <alignment horizontal="right"/>
    </xf>
    <xf numFmtId="164" fontId="30" fillId="0" borderId="0" xfId="2" applyNumberFormat="1" applyFont="1" applyFill="1" applyBorder="1" applyAlignment="1">
      <alignment horizontal="right"/>
    </xf>
    <xf numFmtId="37" fontId="30" fillId="2" borderId="0" xfId="2" applyNumberFormat="1" applyFont="1" applyFill="1" applyBorder="1"/>
    <xf numFmtId="37" fontId="17" fillId="2" borderId="0" xfId="2" applyNumberFormat="1" applyFont="1" applyFill="1" applyBorder="1"/>
    <xf numFmtId="37" fontId="17" fillId="2" borderId="0" xfId="2" applyNumberFormat="1" applyFont="1" applyFill="1"/>
    <xf numFmtId="37" fontId="17" fillId="2" borderId="0" xfId="2" applyNumberFormat="1" applyFont="1" applyFill="1" applyAlignment="1">
      <alignment horizontal="left"/>
    </xf>
    <xf numFmtId="37" fontId="30" fillId="2" borderId="0" xfId="2" applyNumberFormat="1" applyFont="1" applyFill="1" applyAlignment="1">
      <alignment horizontal="left"/>
    </xf>
    <xf numFmtId="37" fontId="30" fillId="2" borderId="0" xfId="2" applyNumberFormat="1" applyFont="1" applyFill="1"/>
    <xf numFmtId="164" fontId="30" fillId="0" borderId="0" xfId="2" applyNumberFormat="1" applyFont="1" applyFill="1" applyAlignment="1">
      <alignment horizontal="right" wrapText="1"/>
    </xf>
    <xf numFmtId="164" fontId="30" fillId="2" borderId="0" xfId="2" applyNumberFormat="1" applyFont="1" applyFill="1"/>
    <xf numFmtId="164" fontId="17" fillId="2" borderId="0" xfId="2" applyNumberFormat="1" applyFont="1" applyFill="1"/>
    <xf numFmtId="164" fontId="30" fillId="2" borderId="0" xfId="2" applyNumberFormat="1" applyFont="1" applyFill="1" applyAlignment="1">
      <alignment horizontal="left"/>
    </xf>
    <xf numFmtId="164" fontId="30" fillId="2" borderId="0" xfId="2" applyNumberFormat="1" applyFont="1" applyFill="1" applyAlignment="1">
      <alignment horizontal="right"/>
    </xf>
    <xf numFmtId="164" fontId="30" fillId="2" borderId="0" xfId="2" quotePrefix="1" applyNumberFormat="1" applyFont="1" applyFill="1" applyAlignment="1">
      <alignment horizontal="right"/>
    </xf>
    <xf numFmtId="164" fontId="17" fillId="2" borderId="0" xfId="2" quotePrefix="1" applyNumberFormat="1" applyFont="1" applyFill="1"/>
    <xf numFmtId="164" fontId="17" fillId="2" borderId="0" xfId="2" applyNumberFormat="1" applyFont="1" applyFill="1" applyAlignment="1">
      <alignment horizontal="left" vertical="top" wrapText="1"/>
    </xf>
    <xf numFmtId="164" fontId="30" fillId="2" borderId="0" xfId="2" applyNumberFormat="1" applyFont="1" applyFill="1" applyAlignment="1">
      <alignment horizontal="left" vertical="top" wrapText="1"/>
    </xf>
    <xf numFmtId="164" fontId="17" fillId="2" borderId="5" xfId="2" applyNumberFormat="1" applyFont="1" applyFill="1" applyBorder="1" applyAlignment="1">
      <alignment horizontal="left" vertical="top" wrapText="1"/>
    </xf>
    <xf numFmtId="164" fontId="17" fillId="2" borderId="5" xfId="2" applyNumberFormat="1" applyFont="1" applyFill="1" applyBorder="1" applyAlignment="1">
      <alignment horizontal="right" vertical="top" wrapText="1"/>
    </xf>
    <xf numFmtId="164" fontId="17" fillId="2" borderId="0" xfId="2" applyNumberFormat="1" applyFont="1" applyFill="1" applyAlignment="1">
      <alignment horizontal="right" vertical="top" wrapText="1"/>
    </xf>
    <xf numFmtId="37" fontId="17" fillId="2" borderId="0" xfId="2" applyNumberFormat="1" applyFont="1" applyFill="1" applyBorder="1" applyAlignment="1">
      <alignment horizontal="right"/>
    </xf>
    <xf numFmtId="37" fontId="30" fillId="2" borderId="0" xfId="2" applyNumberFormat="1" applyFont="1" applyFill="1" applyBorder="1" applyAlignment="1">
      <alignment horizontal="right"/>
    </xf>
    <xf numFmtId="37" fontId="30" fillId="2" borderId="3" xfId="2" applyNumberFormat="1" applyFont="1" applyFill="1" applyBorder="1"/>
    <xf numFmtId="37" fontId="17" fillId="2" borderId="3" xfId="2" applyNumberFormat="1" applyFont="1" applyFill="1" applyBorder="1"/>
    <xf numFmtId="0" fontId="34" fillId="0" borderId="0" xfId="0" applyFont="1"/>
    <xf numFmtId="164" fontId="31" fillId="0" borderId="0" xfId="4" applyNumberFormat="1" applyFont="1" applyFill="1" applyBorder="1" applyAlignment="1">
      <alignment horizontal="right" vertical="center"/>
    </xf>
    <xf numFmtId="164" fontId="31" fillId="0" borderId="0" xfId="4" applyNumberFormat="1" applyFont="1" applyFill="1" applyBorder="1" applyAlignment="1">
      <alignment horizontal="right" vertical="center" wrapText="1"/>
    </xf>
    <xf numFmtId="0" fontId="0" fillId="0" borderId="0" xfId="0" applyAlignment="1">
      <alignment vertical="center"/>
    </xf>
    <xf numFmtId="164" fontId="10" fillId="0" borderId="0" xfId="4" applyNumberFormat="1" applyFont="1" applyFill="1"/>
    <xf numFmtId="164" fontId="12" fillId="0" borderId="0" xfId="4" applyNumberFormat="1" applyFont="1" applyFill="1"/>
    <xf numFmtId="164" fontId="4" fillId="0" borderId="2" xfId="4" applyNumberFormat="1" applyFont="1" applyFill="1" applyBorder="1"/>
    <xf numFmtId="164" fontId="30" fillId="0" borderId="0" xfId="4" applyNumberFormat="1" applyFont="1" applyFill="1" applyBorder="1"/>
    <xf numFmtId="164" fontId="17" fillId="0" borderId="0" xfId="4" applyNumberFormat="1" applyFont="1" applyFill="1" applyBorder="1"/>
    <xf numFmtId="164" fontId="17" fillId="0" borderId="0" xfId="4" applyNumberFormat="1" applyFont="1" applyFill="1"/>
    <xf numFmtId="164" fontId="30" fillId="0" borderId="0" xfId="4" applyNumberFormat="1" applyFont="1" applyFill="1"/>
    <xf numFmtId="164" fontId="31" fillId="0" borderId="0" xfId="4" applyNumberFormat="1" applyFont="1" applyFill="1" applyBorder="1" applyAlignment="1">
      <alignment vertical="center"/>
    </xf>
    <xf numFmtId="164" fontId="30" fillId="0" borderId="0" xfId="4" applyNumberFormat="1" applyFont="1" applyFill="1" applyBorder="1" applyAlignment="1">
      <alignment horizontal="center" wrapText="1"/>
    </xf>
    <xf numFmtId="164" fontId="30" fillId="0" borderId="0" xfId="4" applyNumberFormat="1" applyFont="1" applyFill="1" applyBorder="1" applyAlignment="1">
      <alignment horizontal="center" wrapText="1"/>
    </xf>
    <xf numFmtId="164" fontId="30" fillId="0" borderId="0" xfId="4" applyNumberFormat="1" applyFont="1" applyFill="1" applyBorder="1" applyAlignment="1">
      <alignment horizontal="center" wrapText="1"/>
    </xf>
    <xf numFmtId="164" fontId="30" fillId="0" borderId="0" xfId="4" applyNumberFormat="1" applyFont="1" applyFill="1" applyBorder="1"/>
    <xf numFmtId="164" fontId="17" fillId="0" borderId="0" xfId="4" applyNumberFormat="1" applyFont="1" applyFill="1" applyBorder="1" applyAlignment="1">
      <alignment horizontal="right"/>
    </xf>
    <xf numFmtId="3" fontId="30" fillId="2" borderId="12" xfId="4" applyNumberFormat="1" applyFont="1" applyFill="1" applyBorder="1" applyAlignment="1"/>
    <xf numFmtId="3" fontId="17" fillId="2" borderId="12" xfId="4" applyNumberFormat="1" applyFont="1" applyFill="1" applyBorder="1" applyAlignment="1"/>
    <xf numFmtId="164" fontId="4" fillId="0" borderId="2" xfId="4" applyNumberFormat="1" applyFont="1" applyFill="1" applyBorder="1"/>
    <xf numFmtId="37" fontId="7" fillId="2" borderId="0" xfId="4" applyNumberFormat="1" applyFont="1" applyFill="1"/>
    <xf numFmtId="3" fontId="5" fillId="2" borderId="0" xfId="4" applyNumberFormat="1" applyFont="1" applyFill="1"/>
    <xf numFmtId="37" fontId="5" fillId="2" borderId="0" xfId="4" applyNumberFormat="1" applyFont="1" applyFill="1"/>
    <xf numFmtId="3" fontId="10" fillId="2" borderId="0" xfId="4" applyNumberFormat="1" applyFont="1" applyFill="1"/>
    <xf numFmtId="3" fontId="10" fillId="2" borderId="0" xfId="4" applyNumberFormat="1" applyFont="1" applyFill="1" applyAlignment="1"/>
    <xf numFmtId="3" fontId="21" fillId="2" borderId="0" xfId="4" applyNumberFormat="1" applyFont="1" applyFill="1"/>
    <xf numFmtId="3" fontId="12" fillId="2" borderId="0" xfId="4" applyNumberFormat="1" applyFont="1" applyFill="1" applyBorder="1"/>
    <xf numFmtId="3" fontId="12" fillId="2" borderId="0" xfId="4" applyNumberFormat="1" applyFont="1" applyFill="1" applyBorder="1" applyAlignment="1"/>
    <xf numFmtId="3" fontId="16" fillId="2" borderId="0" xfId="4" applyNumberFormat="1" applyFont="1" applyFill="1" applyBorder="1"/>
    <xf numFmtId="3" fontId="4" fillId="2" borderId="2" xfId="4" applyNumberFormat="1" applyFont="1" applyFill="1" applyBorder="1"/>
    <xf numFmtId="3" fontId="5" fillId="2" borderId="2" xfId="4" applyNumberFormat="1" applyFont="1" applyFill="1" applyBorder="1"/>
    <xf numFmtId="3" fontId="7" fillId="2" borderId="2" xfId="4" applyNumberFormat="1" applyFont="1" applyFill="1" applyBorder="1" applyAlignment="1"/>
    <xf numFmtId="3" fontId="4" fillId="2" borderId="0" xfId="4" applyNumberFormat="1" applyFont="1" applyFill="1"/>
    <xf numFmtId="3" fontId="7" fillId="2" borderId="0" xfId="4" applyNumberFormat="1" applyFont="1" applyFill="1" applyBorder="1" applyAlignment="1"/>
    <xf numFmtId="3" fontId="5" fillId="2" borderId="0" xfId="4" applyNumberFormat="1" applyFont="1" applyFill="1" applyBorder="1"/>
    <xf numFmtId="3" fontId="6" fillId="2" borderId="0" xfId="4" applyNumberFormat="1" applyFont="1" applyFill="1"/>
    <xf numFmtId="3" fontId="9" fillId="2" borderId="0" xfId="4" applyNumberFormat="1" applyFont="1" applyFill="1" applyAlignment="1"/>
    <xf numFmtId="3" fontId="11" fillId="2" borderId="0" xfId="4" applyNumberFormat="1" applyFont="1" applyFill="1" applyAlignment="1"/>
    <xf numFmtId="3" fontId="11" fillId="2" borderId="3" xfId="4" applyNumberFormat="1" applyFont="1" applyFill="1" applyBorder="1" applyAlignment="1"/>
    <xf numFmtId="164" fontId="7" fillId="2" borderId="3" xfId="4" applyNumberFormat="1" applyFont="1" applyFill="1" applyBorder="1" applyAlignment="1"/>
    <xf numFmtId="164" fontId="5" fillId="2" borderId="3" xfId="4" applyNumberFormat="1" applyFont="1" applyFill="1" applyBorder="1" applyAlignment="1"/>
    <xf numFmtId="37" fontId="7" fillId="2" borderId="3" xfId="4" applyNumberFormat="1" applyFont="1" applyFill="1" applyBorder="1" applyAlignment="1">
      <alignment horizontal="right"/>
    </xf>
    <xf numFmtId="37" fontId="5" fillId="2" borderId="3" xfId="4" applyNumberFormat="1" applyFont="1" applyFill="1" applyBorder="1" applyAlignment="1">
      <alignment horizontal="right"/>
    </xf>
    <xf numFmtId="37" fontId="7" fillId="2" borderId="3" xfId="4" applyNumberFormat="1" applyFont="1" applyFill="1" applyBorder="1" applyAlignment="1"/>
    <xf numFmtId="37" fontId="5" fillId="2" borderId="3" xfId="4" applyNumberFormat="1" applyFont="1" applyFill="1" applyBorder="1" applyAlignment="1"/>
    <xf numFmtId="164" fontId="30" fillId="0" borderId="0" xfId="4" applyNumberFormat="1" applyFont="1" applyFill="1" applyBorder="1"/>
    <xf numFmtId="164" fontId="30" fillId="0" borderId="0" xfId="4" applyNumberFormat="1" applyFont="1" applyFill="1" applyBorder="1" applyAlignment="1">
      <alignment horizontal="center" wrapText="1"/>
    </xf>
    <xf numFmtId="164" fontId="17" fillId="0" borderId="0" xfId="4" applyNumberFormat="1" applyFont="1" applyFill="1"/>
    <xf numFmtId="164" fontId="17" fillId="0" borderId="0" xfId="4" applyNumberFormat="1" applyFont="1" applyFill="1" applyBorder="1" applyAlignment="1">
      <alignment horizontal="right"/>
    </xf>
    <xf numFmtId="164" fontId="30" fillId="0" borderId="0" xfId="4" applyNumberFormat="1" applyFont="1" applyFill="1"/>
    <xf numFmtId="164" fontId="30" fillId="0" borderId="0" xfId="4" applyNumberFormat="1" applyFont="1" applyFill="1" applyAlignment="1">
      <alignment horizontal="right"/>
    </xf>
    <xf numFmtId="37" fontId="30" fillId="2" borderId="0" xfId="4" applyNumberFormat="1" applyFont="1" applyFill="1" applyBorder="1"/>
    <xf numFmtId="37" fontId="17" fillId="2" borderId="0" xfId="4" applyNumberFormat="1" applyFont="1" applyFill="1" applyBorder="1"/>
    <xf numFmtId="37" fontId="17" fillId="2" borderId="0" xfId="4" applyNumberFormat="1" applyFont="1" applyFill="1"/>
    <xf numFmtId="37" fontId="17" fillId="2" borderId="0" xfId="4" applyNumberFormat="1" applyFont="1" applyFill="1" applyAlignment="1">
      <alignment horizontal="left"/>
    </xf>
    <xf numFmtId="37" fontId="17" fillId="2" borderId="0" xfId="4" applyNumberFormat="1" applyFont="1" applyFill="1" applyAlignment="1">
      <alignment horizontal="right"/>
    </xf>
    <xf numFmtId="37" fontId="30" fillId="2" borderId="0" xfId="4" applyNumberFormat="1" applyFont="1" applyFill="1" applyAlignment="1">
      <alignment horizontal="left"/>
    </xf>
    <xf numFmtId="37" fontId="30" fillId="2" borderId="0" xfId="4" applyNumberFormat="1" applyFont="1" applyFill="1"/>
    <xf numFmtId="164" fontId="33" fillId="0" borderId="0" xfId="4" applyNumberFormat="1" applyFont="1" applyFill="1" applyAlignment="1">
      <alignment horizontal="left"/>
    </xf>
    <xf numFmtId="3" fontId="17" fillId="0" borderId="0" xfId="4" applyNumberFormat="1" applyFont="1" applyFill="1"/>
    <xf numFmtId="3" fontId="30" fillId="2" borderId="0" xfId="4" applyNumberFormat="1" applyFont="1" applyFill="1"/>
    <xf numFmtId="3" fontId="17" fillId="2" borderId="0" xfId="4" applyNumberFormat="1" applyFont="1" applyFill="1"/>
    <xf numFmtId="3" fontId="17" fillId="3" borderId="0" xfId="4" applyNumberFormat="1" applyFont="1" applyFill="1"/>
    <xf numFmtId="3" fontId="17" fillId="2" borderId="0" xfId="4" applyNumberFormat="1" applyFont="1" applyFill="1" applyBorder="1"/>
    <xf numFmtId="3" fontId="30" fillId="2" borderId="0" xfId="4" applyNumberFormat="1" applyFont="1" applyFill="1" applyBorder="1" applyAlignment="1"/>
    <xf numFmtId="3" fontId="30" fillId="2" borderId="0" xfId="4" applyNumberFormat="1" applyFont="1" applyFill="1" applyBorder="1" applyAlignment="1">
      <alignment horizontal="right"/>
    </xf>
    <xf numFmtId="3" fontId="17" fillId="2" borderId="0" xfId="4" applyNumberFormat="1" applyFont="1" applyFill="1" applyAlignment="1">
      <alignment horizontal="right"/>
    </xf>
    <xf numFmtId="3" fontId="30" fillId="2" borderId="0" xfId="4" applyNumberFormat="1" applyFont="1" applyFill="1" applyAlignment="1">
      <alignment horizontal="right" wrapText="1"/>
    </xf>
    <xf numFmtId="3" fontId="17" fillId="2" borderId="0" xfId="4" applyNumberFormat="1" applyFont="1" applyFill="1" applyAlignment="1">
      <alignment horizontal="right" wrapText="1"/>
    </xf>
    <xf numFmtId="3" fontId="17" fillId="2" borderId="0" xfId="4" applyNumberFormat="1" applyFont="1" applyFill="1" applyBorder="1" applyAlignment="1">
      <alignment horizontal="right"/>
    </xf>
    <xf numFmtId="3" fontId="30" fillId="2" borderId="0" xfId="4" applyNumberFormat="1" applyFont="1" applyFill="1" applyAlignment="1">
      <alignment horizontal="center"/>
    </xf>
    <xf numFmtId="3" fontId="30" fillId="2" borderId="3" xfId="4" applyNumberFormat="1" applyFont="1" applyFill="1" applyBorder="1" applyAlignment="1"/>
    <xf numFmtId="3" fontId="17" fillId="2" borderId="3" xfId="4" applyNumberFormat="1" applyFont="1" applyFill="1" applyBorder="1"/>
    <xf numFmtId="3" fontId="30" fillId="2" borderId="0" xfId="4" applyNumberFormat="1" applyFont="1" applyFill="1" applyAlignment="1"/>
    <xf numFmtId="3" fontId="17" fillId="2" borderId="0" xfId="4" applyNumberFormat="1" applyFont="1" applyFill="1" applyAlignment="1">
      <alignment horizontal="center"/>
    </xf>
    <xf numFmtId="3" fontId="17" fillId="2" borderId="0" xfId="4" applyNumberFormat="1" applyFont="1" applyFill="1" applyAlignment="1">
      <alignment horizontal="left"/>
    </xf>
    <xf numFmtId="3" fontId="30" fillId="2" borderId="11" xfId="4" applyNumberFormat="1" applyFont="1" applyFill="1" applyBorder="1" applyAlignment="1"/>
    <xf numFmtId="3" fontId="30" fillId="2" borderId="11" xfId="4" applyNumberFormat="1" applyFont="1" applyFill="1" applyBorder="1"/>
    <xf numFmtId="164" fontId="30" fillId="0" borderId="0" xfId="4" applyNumberFormat="1" applyFont="1" applyFill="1" applyAlignment="1">
      <alignment horizontal="right" wrapText="1"/>
    </xf>
    <xf numFmtId="164" fontId="30" fillId="0" borderId="0" xfId="4" applyNumberFormat="1" applyFont="1" applyFill="1" applyBorder="1" applyAlignment="1"/>
    <xf numFmtId="164" fontId="30" fillId="2" borderId="0" xfId="4" applyNumberFormat="1" applyFont="1" applyFill="1" applyAlignment="1">
      <alignment horizontal="center"/>
    </xf>
    <xf numFmtId="164" fontId="30" fillId="2" borderId="0" xfId="4" applyNumberFormat="1" applyFont="1" applyFill="1"/>
    <xf numFmtId="164" fontId="30" fillId="2" borderId="0" xfId="4" applyNumberFormat="1" applyFont="1" applyFill="1" applyAlignment="1">
      <alignment horizontal="right" wrapText="1"/>
    </xf>
    <xf numFmtId="37" fontId="17" fillId="2" borderId="0" xfId="4" applyNumberFormat="1" applyFont="1" applyFill="1" applyBorder="1" applyAlignment="1">
      <alignment horizontal="center"/>
    </xf>
    <xf numFmtId="37" fontId="30" fillId="2" borderId="0" xfId="4" applyNumberFormat="1" applyFont="1" applyFill="1" applyAlignment="1">
      <alignment horizontal="right" wrapText="1"/>
    </xf>
    <xf numFmtId="37" fontId="17" fillId="2" borderId="0" xfId="4" applyNumberFormat="1" applyFont="1" applyFill="1" applyBorder="1" applyAlignment="1">
      <alignment horizontal="right" wrapText="1"/>
    </xf>
    <xf numFmtId="37" fontId="17" fillId="2" borderId="0" xfId="4" applyNumberFormat="1" applyFont="1" applyFill="1" applyBorder="1" applyAlignment="1">
      <alignment horizontal="right"/>
    </xf>
    <xf numFmtId="37" fontId="30" fillId="2" borderId="0" xfId="4" applyNumberFormat="1" applyFont="1" applyFill="1" applyBorder="1" applyAlignment="1">
      <alignment horizontal="right"/>
    </xf>
    <xf numFmtId="37" fontId="30" fillId="2" borderId="3" xfId="4" applyNumberFormat="1" applyFont="1" applyFill="1" applyBorder="1"/>
    <xf numFmtId="37" fontId="17" fillId="2" borderId="3" xfId="4" applyNumberFormat="1" applyFont="1" applyFill="1" applyBorder="1"/>
    <xf numFmtId="37" fontId="30" fillId="2" borderId="5" xfId="4" applyNumberFormat="1" applyFont="1" applyFill="1" applyBorder="1"/>
    <xf numFmtId="37" fontId="17" fillId="2" borderId="5" xfId="4" applyNumberFormat="1" applyFont="1" applyFill="1" applyBorder="1"/>
    <xf numFmtId="164" fontId="14" fillId="0" borderId="2" xfId="6" applyNumberFormat="1" applyFont="1" applyFill="1" applyBorder="1"/>
    <xf numFmtId="164" fontId="7" fillId="0" borderId="2" xfId="6" applyNumberFormat="1" applyFont="1" applyFill="1" applyBorder="1"/>
    <xf numFmtId="164" fontId="7" fillId="0" borderId="0" xfId="6" applyNumberFormat="1" applyFont="1" applyFill="1"/>
    <xf numFmtId="164" fontId="5" fillId="0" borderId="0" xfId="6" applyNumberFormat="1" applyFont="1" applyFill="1" applyAlignment="1">
      <alignment horizontal="left"/>
    </xf>
    <xf numFmtId="164" fontId="7" fillId="0" borderId="0" xfId="6" applyNumberFormat="1" applyFont="1" applyFill="1" applyAlignment="1">
      <alignment horizontal="left"/>
    </xf>
    <xf numFmtId="164" fontId="5" fillId="0" borderId="0" xfId="6" applyNumberFormat="1" applyFont="1" applyFill="1" applyAlignment="1">
      <alignment horizontal="right"/>
    </xf>
    <xf numFmtId="164" fontId="5" fillId="0" borderId="0" xfId="6" applyNumberFormat="1" applyFont="1" applyFill="1" applyBorder="1" applyAlignment="1">
      <alignment horizontal="right"/>
    </xf>
    <xf numFmtId="164" fontId="7" fillId="0" borderId="0" xfId="6" applyNumberFormat="1" applyFont="1" applyFill="1" applyAlignment="1">
      <alignment horizontal="right"/>
    </xf>
    <xf numFmtId="164" fontId="5" fillId="0" borderId="2" xfId="6" applyNumberFormat="1" applyFont="1" applyFill="1" applyBorder="1"/>
    <xf numFmtId="0" fontId="36" fillId="0" borderId="0" xfId="0" applyFont="1"/>
    <xf numFmtId="0" fontId="10" fillId="0" borderId="0" xfId="6" applyFont="1" applyFill="1"/>
    <xf numFmtId="0" fontId="12" fillId="0" borderId="0" xfId="6" applyFont="1" applyFill="1" applyBorder="1"/>
    <xf numFmtId="0" fontId="7" fillId="0" borderId="2" xfId="6" applyFont="1" applyFill="1" applyBorder="1"/>
    <xf numFmtId="0" fontId="35" fillId="0" borderId="0" xfId="6"/>
    <xf numFmtId="0" fontId="5" fillId="0" borderId="0" xfId="6" applyFont="1" applyFill="1"/>
    <xf numFmtId="165" fontId="5" fillId="0" borderId="0" xfId="6" applyNumberFormat="1" applyFont="1" applyFill="1"/>
    <xf numFmtId="0" fontId="7" fillId="0" borderId="0" xfId="6" applyFont="1" applyFill="1"/>
    <xf numFmtId="165" fontId="7" fillId="0" borderId="0" xfId="6" applyNumberFormat="1" applyFont="1" applyFill="1" applyBorder="1"/>
    <xf numFmtId="164" fontId="5" fillId="0" borderId="0" xfId="6" applyNumberFormat="1" applyFont="1" applyFill="1"/>
    <xf numFmtId="165" fontId="5" fillId="0" borderId="0" xfId="6" applyNumberFormat="1" applyFont="1" applyFill="1" applyAlignment="1">
      <alignment wrapText="1"/>
    </xf>
    <xf numFmtId="165" fontId="5" fillId="0" borderId="0" xfId="6" applyNumberFormat="1" applyFont="1" applyFill="1" applyBorder="1" applyAlignment="1">
      <alignment horizontal="right"/>
    </xf>
    <xf numFmtId="165" fontId="7" fillId="0" borderId="0" xfId="6" applyNumberFormat="1" applyFont="1" applyFill="1" applyBorder="1" applyAlignment="1">
      <alignment horizontal="right"/>
    </xf>
    <xf numFmtId="165" fontId="7" fillId="0" borderId="0" xfId="6" applyNumberFormat="1" applyFont="1" applyFill="1"/>
    <xf numFmtId="0" fontId="7" fillId="0" borderId="0" xfId="6" applyFont="1" applyFill="1" applyAlignment="1">
      <alignment horizontal="center" wrapText="1"/>
    </xf>
    <xf numFmtId="0" fontId="5" fillId="0" borderId="0" xfId="6" applyFont="1" applyFill="1" applyBorder="1" applyAlignment="1">
      <alignment horizontal="center" wrapText="1"/>
    </xf>
    <xf numFmtId="165" fontId="5" fillId="0" borderId="0" xfId="6" applyNumberFormat="1" applyFont="1" applyFill="1" applyAlignment="1">
      <alignment horizontal="right"/>
    </xf>
    <xf numFmtId="0" fontId="5" fillId="0" borderId="0" xfId="6" applyFont="1" applyFill="1" applyAlignment="1">
      <alignment horizontal="right"/>
    </xf>
    <xf numFmtId="0" fontId="5" fillId="0" borderId="2" xfId="6" applyFont="1" applyFill="1" applyBorder="1"/>
    <xf numFmtId="165" fontId="5" fillId="0" borderId="0" xfId="6" applyNumberFormat="1" applyFont="1" applyFill="1" applyAlignment="1">
      <alignment horizontal="right" wrapText="1"/>
    </xf>
    <xf numFmtId="169" fontId="32" fillId="0" borderId="0" xfId="5" applyNumberFormat="1" applyFont="1" applyFill="1" applyBorder="1" applyAlignment="1">
      <alignment horizontal="right"/>
    </xf>
    <xf numFmtId="169" fontId="32" fillId="0" borderId="1" xfId="5" applyNumberFormat="1" applyFont="1" applyFill="1" applyBorder="1" applyAlignment="1">
      <alignment horizontal="right"/>
    </xf>
    <xf numFmtId="0" fontId="38" fillId="0" borderId="0" xfId="0" applyFont="1"/>
    <xf numFmtId="0" fontId="0" fillId="0" borderId="0" xfId="0" quotePrefix="1" applyAlignment="1">
      <alignment horizontal="right"/>
    </xf>
    <xf numFmtId="0" fontId="2" fillId="0" borderId="0" xfId="0" quotePrefix="1" applyFont="1" applyAlignment="1">
      <alignment horizontal="right"/>
    </xf>
    <xf numFmtId="0" fontId="0" fillId="0" borderId="13" xfId="0" applyBorder="1"/>
    <xf numFmtId="0" fontId="2" fillId="0" borderId="0" xfId="0" applyFont="1"/>
    <xf numFmtId="0" fontId="39" fillId="0" borderId="0" xfId="0" applyFont="1"/>
    <xf numFmtId="0" fontId="2" fillId="0" borderId="0" xfId="0" applyFont="1" applyAlignment="1">
      <alignment horizontal="right"/>
    </xf>
    <xf numFmtId="0" fontId="40" fillId="0" borderId="0" xfId="0" applyFont="1"/>
    <xf numFmtId="0" fontId="2" fillId="0" borderId="0" xfId="0" quotePrefix="1" applyFont="1" applyAlignment="1"/>
    <xf numFmtId="0" fontId="0" fillId="0" borderId="0" xfId="0" applyAlignment="1"/>
    <xf numFmtId="0" fontId="0" fillId="0" borderId="0" xfId="0" quotePrefix="1" applyAlignment="1"/>
    <xf numFmtId="0" fontId="0" fillId="0" borderId="0" xfId="0" applyAlignment="1">
      <alignment horizontal="right"/>
    </xf>
    <xf numFmtId="0" fontId="42" fillId="0" borderId="0" xfId="0" applyFont="1" applyBorder="1"/>
    <xf numFmtId="0" fontId="45" fillId="0" borderId="0" xfId="0" applyFont="1"/>
    <xf numFmtId="37" fontId="30" fillId="2" borderId="14" xfId="4" applyNumberFormat="1" applyFont="1" applyFill="1" applyBorder="1"/>
    <xf numFmtId="37" fontId="17" fillId="2" borderId="14" xfId="4" applyNumberFormat="1" applyFont="1" applyFill="1" applyBorder="1"/>
    <xf numFmtId="0" fontId="17" fillId="0" borderId="0" xfId="0" applyFont="1"/>
    <xf numFmtId="3" fontId="30" fillId="0" borderId="0" xfId="8" applyNumberFormat="1" applyFont="1" applyFill="1" applyAlignment="1">
      <alignment horizontal="right" wrapText="1"/>
    </xf>
    <xf numFmtId="3" fontId="17" fillId="0" borderId="0" xfId="8" applyNumberFormat="1" applyFont="1" applyFill="1" applyAlignment="1">
      <alignment horizontal="right" wrapText="1"/>
    </xf>
    <xf numFmtId="3" fontId="30" fillId="0" borderId="0" xfId="8" applyNumberFormat="1" applyFont="1" applyFill="1" applyBorder="1" applyAlignment="1">
      <alignment horizontal="right"/>
    </xf>
    <xf numFmtId="3" fontId="17" fillId="0" borderId="0" xfId="8" applyNumberFormat="1" applyFont="1" applyFill="1" applyBorder="1" applyAlignment="1">
      <alignment horizontal="right"/>
    </xf>
    <xf numFmtId="3" fontId="30" fillId="0" borderId="0" xfId="8" applyNumberFormat="1" applyFont="1" applyFill="1" applyAlignment="1">
      <alignment horizontal="left"/>
    </xf>
    <xf numFmtId="3" fontId="30" fillId="2" borderId="0" xfId="8" applyNumberFormat="1" applyFont="1" applyFill="1"/>
    <xf numFmtId="3" fontId="17" fillId="0" borderId="0" xfId="8" applyNumberFormat="1" applyFont="1" applyFill="1"/>
    <xf numFmtId="3" fontId="30" fillId="0" borderId="0" xfId="8" applyNumberFormat="1" applyFont="1" applyFill="1"/>
    <xf numFmtId="3" fontId="17" fillId="2" borderId="0" xfId="8" applyNumberFormat="1" applyFont="1" applyFill="1"/>
    <xf numFmtId="3" fontId="17" fillId="0" borderId="0" xfId="8" applyNumberFormat="1" applyFont="1" applyFill="1" applyAlignment="1">
      <alignment horizontal="left" indent="1"/>
    </xf>
    <xf numFmtId="3" fontId="30" fillId="0" borderId="4" xfId="8" applyNumberFormat="1" applyFont="1" applyFill="1" applyBorder="1" applyAlignment="1">
      <alignment horizontal="right"/>
    </xf>
    <xf numFmtId="3" fontId="17" fillId="0" borderId="4" xfId="8" applyNumberFormat="1" applyFont="1" applyFill="1" applyBorder="1" applyAlignment="1">
      <alignment horizontal="right"/>
    </xf>
    <xf numFmtId="3" fontId="17" fillId="0" borderId="3" xfId="8" applyNumberFormat="1" applyFont="1" applyFill="1" applyBorder="1" applyAlignment="1">
      <alignment horizontal="right"/>
    </xf>
    <xf numFmtId="3" fontId="17" fillId="0" borderId="0" xfId="8" quotePrefix="1" applyNumberFormat="1" applyFont="1" applyFill="1"/>
    <xf numFmtId="3" fontId="17" fillId="0" borderId="0" xfId="8" applyNumberFormat="1" applyFont="1" applyFill="1" applyBorder="1"/>
    <xf numFmtId="3" fontId="30" fillId="0" borderId="0" xfId="8" applyNumberFormat="1" applyFont="1" applyFill="1" applyBorder="1"/>
    <xf numFmtId="3" fontId="30" fillId="0" borderId="4" xfId="8" applyNumberFormat="1" applyFont="1" applyFill="1" applyBorder="1"/>
    <xf numFmtId="3" fontId="17" fillId="0" borderId="3" xfId="8" applyNumberFormat="1" applyFont="1" applyFill="1" applyBorder="1"/>
    <xf numFmtId="3" fontId="30" fillId="0" borderId="1" xfId="8" applyNumberFormat="1" applyFont="1" applyFill="1" applyBorder="1" applyAlignment="1">
      <alignment horizontal="right"/>
    </xf>
    <xf numFmtId="0" fontId="30" fillId="2" borderId="0" xfId="8" applyFont="1" applyFill="1"/>
    <xf numFmtId="0" fontId="17" fillId="2" borderId="0" xfId="8" applyFont="1" applyFill="1" applyAlignment="1">
      <alignment horizontal="left" vertical="top"/>
    </xf>
    <xf numFmtId="0" fontId="17" fillId="2" borderId="0" xfId="8" applyFont="1" applyFill="1"/>
    <xf numFmtId="0" fontId="17" fillId="0" borderId="0" xfId="8" applyFont="1" applyFill="1"/>
    <xf numFmtId="0" fontId="0" fillId="0" borderId="0" xfId="0" applyFill="1"/>
    <xf numFmtId="3" fontId="17" fillId="0" borderId="0" xfId="8" applyNumberFormat="1" applyFont="1" applyFill="1" applyBorder="1" applyAlignment="1">
      <alignment horizontal="right" wrapText="1"/>
    </xf>
    <xf numFmtId="0" fontId="30" fillId="0" borderId="0" xfId="8" applyFont="1"/>
    <xf numFmtId="0" fontId="17" fillId="2" borderId="0" xfId="8" applyFont="1" applyFill="1" applyAlignment="1">
      <alignment vertical="justify" wrapText="1"/>
    </xf>
    <xf numFmtId="3" fontId="30" fillId="2" borderId="0" xfId="8" applyNumberFormat="1" applyFont="1" applyFill="1" applyBorder="1"/>
    <xf numFmtId="3" fontId="30" fillId="0" borderId="0" xfId="4" applyNumberFormat="1" applyFont="1" applyFill="1" applyAlignment="1"/>
    <xf numFmtId="164" fontId="30" fillId="0" borderId="12" xfId="4" applyNumberFormat="1" applyFont="1" applyFill="1" applyBorder="1" applyAlignment="1"/>
    <xf numFmtId="0" fontId="0" fillId="0" borderId="8" xfId="0" applyBorder="1"/>
    <xf numFmtId="164" fontId="17" fillId="4" borderId="0" xfId="0" applyNumberFormat="1" applyFont="1" applyFill="1" applyBorder="1" applyAlignment="1" applyProtection="1">
      <alignment horizontal="left"/>
    </xf>
    <xf numFmtId="164" fontId="17" fillId="4" borderId="0" xfId="0" applyNumberFormat="1" applyFont="1" applyFill="1" applyBorder="1" applyAlignment="1" applyProtection="1"/>
    <xf numFmtId="169" fontId="46" fillId="0" borderId="0" xfId="0" applyNumberFormat="1" applyFont="1" applyFill="1" applyBorder="1" applyAlignment="1" applyProtection="1">
      <alignment horizontal="right"/>
    </xf>
    <xf numFmtId="164" fontId="30" fillId="4" borderId="0" xfId="0" applyNumberFormat="1" applyFont="1" applyFill="1" applyBorder="1" applyAlignment="1" applyProtection="1"/>
    <xf numFmtId="164" fontId="30" fillId="4" borderId="15" xfId="0" applyNumberFormat="1" applyFont="1" applyFill="1" applyBorder="1" applyAlignment="1" applyProtection="1"/>
    <xf numFmtId="164" fontId="17" fillId="4" borderId="0" xfId="0" quotePrefix="1" applyNumberFormat="1" applyFont="1" applyFill="1" applyBorder="1" applyAlignment="1" applyProtection="1"/>
    <xf numFmtId="164" fontId="30" fillId="4" borderId="5" xfId="0" applyNumberFormat="1" applyFont="1" applyFill="1" applyBorder="1" applyAlignment="1" applyProtection="1"/>
    <xf numFmtId="164" fontId="17" fillId="4" borderId="5" xfId="0" applyNumberFormat="1" applyFont="1" applyFill="1" applyBorder="1" applyAlignment="1" applyProtection="1"/>
    <xf numFmtId="164" fontId="30" fillId="4" borderId="0" xfId="0" applyNumberFormat="1" applyFont="1" applyFill="1" applyBorder="1" applyAlignment="1" applyProtection="1">
      <alignment horizontal="left"/>
    </xf>
    <xf numFmtId="164" fontId="17" fillId="4" borderId="0" xfId="0" applyNumberFormat="1" applyFont="1" applyFill="1" applyBorder="1" applyAlignment="1" applyProtection="1">
      <alignment horizontal="left" indent="1"/>
    </xf>
    <xf numFmtId="164" fontId="30" fillId="4" borderId="0" xfId="0" applyNumberFormat="1" applyFont="1" applyFill="1" applyBorder="1" applyAlignment="1" applyProtection="1">
      <alignment horizontal="left" indent="1"/>
    </xf>
    <xf numFmtId="164" fontId="17" fillId="4" borderId="0" xfId="0" applyNumberFormat="1" applyFont="1" applyFill="1" applyBorder="1" applyAlignment="1" applyProtection="1">
      <alignment wrapText="1"/>
    </xf>
    <xf numFmtId="164" fontId="17" fillId="4" borderId="0" xfId="0" applyNumberFormat="1" applyFont="1" applyFill="1" applyBorder="1" applyAlignment="1" applyProtection="1">
      <alignment horizontal="left" wrapText="1"/>
    </xf>
    <xf numFmtId="164" fontId="17" fillId="4" borderId="0" xfId="0" applyNumberFormat="1" applyFont="1" applyFill="1" applyBorder="1" applyAlignment="1" applyProtection="1">
      <alignment vertical="top"/>
    </xf>
    <xf numFmtId="164" fontId="17" fillId="0" borderId="0" xfId="2" applyNumberFormat="1" applyFont="1" applyFill="1" applyAlignment="1">
      <alignment horizontal="left" vertical="top" wrapText="1"/>
    </xf>
    <xf numFmtId="0" fontId="17" fillId="0" borderId="0" xfId="2" applyFont="1" applyFill="1"/>
    <xf numFmtId="164" fontId="17" fillId="0" borderId="0" xfId="2" applyNumberFormat="1" applyFont="1" applyFill="1" applyBorder="1" applyAlignment="1">
      <alignment horizontal="right" wrapText="1"/>
    </xf>
    <xf numFmtId="170" fontId="30" fillId="4" borderId="15" xfId="1" applyNumberFormat="1" applyFont="1" applyFill="1" applyBorder="1" applyAlignment="1" applyProtection="1"/>
    <xf numFmtId="37" fontId="5" fillId="0" borderId="0" xfId="4" applyNumberFormat="1" applyFont="1" applyFill="1"/>
    <xf numFmtId="37" fontId="7" fillId="0" borderId="0" xfId="4" applyNumberFormat="1" applyFont="1" applyFill="1"/>
    <xf numFmtId="37" fontId="5" fillId="0" borderId="0" xfId="4" applyNumberFormat="1" applyFont="1" applyFill="1" applyBorder="1"/>
    <xf numFmtId="37" fontId="5" fillId="0" borderId="0" xfId="4" applyNumberFormat="1" applyFont="1" applyFill="1" applyBorder="1" applyAlignment="1">
      <alignment horizontal="right"/>
    </xf>
    <xf numFmtId="37" fontId="5" fillId="0" borderId="0" xfId="4" applyNumberFormat="1" applyFont="1" applyFill="1" applyBorder="1" applyAlignment="1"/>
    <xf numFmtId="37" fontId="7" fillId="0" borderId="0" xfId="4" applyNumberFormat="1" applyFont="1" applyFill="1" applyBorder="1"/>
    <xf numFmtId="164" fontId="5" fillId="0" borderId="0" xfId="4" applyNumberFormat="1" applyFont="1" applyFill="1"/>
    <xf numFmtId="37" fontId="7" fillId="2" borderId="0" xfId="4" applyNumberFormat="1" applyFont="1" applyFill="1" applyAlignment="1">
      <alignment horizontal="left"/>
    </xf>
    <xf numFmtId="37" fontId="7" fillId="2" borderId="0" xfId="4" applyNumberFormat="1" applyFont="1" applyFill="1"/>
    <xf numFmtId="37" fontId="10" fillId="2" borderId="0" xfId="4" applyNumberFormat="1" applyFont="1" applyFill="1"/>
    <xf numFmtId="37" fontId="12" fillId="2" borderId="0" xfId="4" applyNumberFormat="1" applyFont="1" applyFill="1" applyBorder="1"/>
    <xf numFmtId="37" fontId="4" fillId="2" borderId="0" xfId="4" applyNumberFormat="1" applyFont="1" applyFill="1"/>
    <xf numFmtId="37" fontId="5" fillId="2" borderId="0" xfId="4" applyNumberFormat="1" applyFont="1" applyFill="1" applyBorder="1"/>
    <xf numFmtId="37" fontId="7" fillId="2" borderId="0" xfId="4" applyNumberFormat="1" applyFont="1" applyFill="1" applyBorder="1"/>
    <xf numFmtId="37" fontId="7" fillId="2" borderId="0" xfId="4" applyNumberFormat="1" applyFont="1" applyFill="1" applyBorder="1" applyAlignment="1">
      <alignment horizontal="right"/>
    </xf>
    <xf numFmtId="37" fontId="5" fillId="2" borderId="0" xfId="4" applyNumberFormat="1" applyFont="1" applyFill="1" applyBorder="1" applyAlignment="1">
      <alignment horizontal="right"/>
    </xf>
    <xf numFmtId="37" fontId="5" fillId="2" borderId="0" xfId="4" applyNumberFormat="1" applyFont="1" applyFill="1" applyAlignment="1">
      <alignment horizontal="left"/>
    </xf>
    <xf numFmtId="37" fontId="5" fillId="2" borderId="0" xfId="4" applyNumberFormat="1" applyFont="1" applyFill="1"/>
    <xf numFmtId="37" fontId="5" fillId="2" borderId="0" xfId="4" applyNumberFormat="1" applyFont="1" applyFill="1" applyBorder="1" applyAlignment="1">
      <alignment horizontal="center"/>
    </xf>
    <xf numFmtId="37" fontId="5" fillId="2" borderId="0" xfId="4" applyNumberFormat="1" applyFont="1" applyFill="1" applyBorder="1" applyAlignment="1">
      <alignment horizontal="right" wrapText="1"/>
    </xf>
    <xf numFmtId="37" fontId="5" fillId="2" borderId="0" xfId="4" applyNumberFormat="1" applyFont="1" applyFill="1" applyAlignment="1">
      <alignment horizontal="right"/>
    </xf>
    <xf numFmtId="37" fontId="5" fillId="2" borderId="0" xfId="4" applyNumberFormat="1" applyFont="1" applyFill="1" applyBorder="1" applyAlignment="1"/>
    <xf numFmtId="37" fontId="5" fillId="2" borderId="0" xfId="4" applyNumberFormat="1" applyFont="1" applyFill="1" applyAlignment="1">
      <alignment horizontal="left" wrapText="1"/>
    </xf>
    <xf numFmtId="37" fontId="6" fillId="2" borderId="0" xfId="4" applyNumberFormat="1" applyFont="1" applyFill="1"/>
    <xf numFmtId="37" fontId="4" fillId="2" borderId="0" xfId="4" applyNumberFormat="1" applyFont="1" applyFill="1" applyAlignment="1">
      <alignment horizontal="left"/>
    </xf>
    <xf numFmtId="37" fontId="11" fillId="2" borderId="0" xfId="4" applyNumberFormat="1" applyFont="1" applyFill="1"/>
    <xf numFmtId="37" fontId="4" fillId="2" borderId="0" xfId="4" applyNumberFormat="1" applyFont="1" applyFill="1" applyBorder="1"/>
    <xf numFmtId="3" fontId="7" fillId="2" borderId="0" xfId="4" applyNumberFormat="1" applyFont="1" applyFill="1" applyAlignment="1">
      <alignment horizontal="right" wrapText="1"/>
    </xf>
    <xf numFmtId="3" fontId="11" fillId="2" borderId="0" xfId="4" applyNumberFormat="1" applyFont="1" applyFill="1" applyAlignment="1"/>
    <xf numFmtId="164" fontId="10" fillId="2" borderId="0" xfId="4" applyNumberFormat="1" applyFont="1" applyFill="1"/>
    <xf numFmtId="164" fontId="12" fillId="2" borderId="0" xfId="4" applyNumberFormat="1" applyFont="1" applyFill="1" applyBorder="1"/>
    <xf numFmtId="164" fontId="6" fillId="2" borderId="0" xfId="4" applyNumberFormat="1" applyFont="1" applyFill="1"/>
    <xf numFmtId="164" fontId="4" fillId="2" borderId="0" xfId="4" applyNumberFormat="1" applyFont="1" applyFill="1"/>
    <xf numFmtId="164" fontId="7" fillId="2" borderId="0" xfId="4" applyNumberFormat="1" applyFont="1" applyFill="1"/>
    <xf numFmtId="164" fontId="5" fillId="2" borderId="0" xfId="4" applyNumberFormat="1" applyFont="1" applyFill="1"/>
    <xf numFmtId="164" fontId="7" fillId="2" borderId="0" xfId="4" applyNumberFormat="1" applyFont="1" applyFill="1" applyAlignment="1">
      <alignment horizontal="center"/>
    </xf>
    <xf numFmtId="164" fontId="5" fillId="2" borderId="0" xfId="4" applyNumberFormat="1" applyFont="1" applyFill="1" applyAlignment="1">
      <alignment horizontal="right"/>
    </xf>
    <xf numFmtId="164" fontId="7" fillId="2" borderId="0" xfId="4" applyNumberFormat="1" applyFont="1" applyFill="1" applyAlignment="1">
      <alignment horizontal="left"/>
    </xf>
    <xf numFmtId="164" fontId="7" fillId="2" borderId="0" xfId="4" applyNumberFormat="1" applyFont="1" applyFill="1" applyAlignment="1">
      <alignment horizontal="right"/>
    </xf>
    <xf numFmtId="164" fontId="7" fillId="2" borderId="0" xfId="4" applyNumberFormat="1" applyFont="1" applyFill="1" applyAlignment="1"/>
    <xf numFmtId="164" fontId="5" fillId="2" borderId="0" xfId="4" applyNumberFormat="1" applyFont="1" applyFill="1" applyAlignment="1">
      <alignment horizontal="left"/>
    </xf>
    <xf numFmtId="164" fontId="5" fillId="2" borderId="0" xfId="4" applyNumberFormat="1" applyFont="1" applyFill="1" applyAlignment="1">
      <alignment horizontal="left" indent="1"/>
    </xf>
    <xf numFmtId="164" fontId="5" fillId="2" borderId="0" xfId="4" applyNumberFormat="1" applyFont="1" applyFill="1" applyBorder="1" applyAlignment="1"/>
    <xf numFmtId="164" fontId="7" fillId="2" borderId="7" xfId="4" applyNumberFormat="1" applyFont="1" applyFill="1" applyBorder="1" applyAlignment="1"/>
    <xf numFmtId="164" fontId="7" fillId="2" borderId="0" xfId="4" applyNumberFormat="1" applyFont="1" applyFill="1" applyBorder="1" applyAlignment="1"/>
    <xf numFmtId="164" fontId="7" fillId="2" borderId="5" xfId="4" applyNumberFormat="1" applyFont="1" applyFill="1" applyBorder="1" applyAlignment="1"/>
    <xf numFmtId="164" fontId="5" fillId="2" borderId="5" xfId="4" applyNumberFormat="1" applyFont="1" applyFill="1" applyBorder="1" applyAlignment="1"/>
    <xf numFmtId="164" fontId="6" fillId="2" borderId="0" xfId="4" applyNumberFormat="1" applyFont="1" applyFill="1" applyAlignment="1">
      <alignment horizontal="left"/>
    </xf>
    <xf numFmtId="164" fontId="6" fillId="2" borderId="0" xfId="4" applyNumberFormat="1" applyFont="1" applyFill="1" applyAlignment="1">
      <alignment horizontal="right"/>
    </xf>
    <xf numFmtId="164" fontId="7" fillId="2" borderId="0" xfId="4" applyNumberFormat="1" applyFont="1" applyFill="1" applyBorder="1" applyAlignment="1">
      <alignment horizontal="right"/>
    </xf>
    <xf numFmtId="164" fontId="5" fillId="2" borderId="0" xfId="4" applyNumberFormat="1" applyFont="1" applyFill="1" applyBorder="1"/>
    <xf numFmtId="164" fontId="5" fillId="2" borderId="0" xfId="4" applyNumberFormat="1" applyFont="1" applyFill="1" applyBorder="1" applyAlignment="1">
      <alignment horizontal="right"/>
    </xf>
    <xf numFmtId="164" fontId="7" fillId="2" borderId="0" xfId="4" applyNumberFormat="1" applyFont="1" applyFill="1" applyBorder="1"/>
    <xf numFmtId="164" fontId="11" fillId="2" borderId="0" xfId="4" applyNumberFormat="1" applyFont="1" applyFill="1"/>
    <xf numFmtId="164" fontId="4" fillId="2" borderId="2" xfId="4" applyNumberFormat="1" applyFont="1" applyFill="1" applyBorder="1"/>
    <xf numFmtId="164" fontId="6" fillId="2" borderId="2" xfId="4" applyNumberFormat="1" applyFont="1" applyFill="1" applyBorder="1"/>
    <xf numFmtId="164" fontId="6" fillId="2" borderId="2" xfId="4" applyNumberFormat="1" applyFont="1" applyFill="1" applyBorder="1" applyAlignment="1">
      <alignment horizontal="right"/>
    </xf>
    <xf numFmtId="164" fontId="4" fillId="2" borderId="0" xfId="4" applyNumberFormat="1" applyFont="1" applyFill="1" applyBorder="1"/>
    <xf numFmtId="164" fontId="6" fillId="2" borderId="0" xfId="4" applyNumberFormat="1" applyFont="1" applyFill="1" applyBorder="1" applyAlignment="1">
      <alignment horizontal="right"/>
    </xf>
    <xf numFmtId="164" fontId="5" fillId="2" borderId="1" xfId="4" applyNumberFormat="1" applyFont="1" applyFill="1" applyBorder="1" applyAlignment="1"/>
    <xf numFmtId="0" fontId="11" fillId="2" borderId="0" xfId="4" applyFont="1" applyFill="1" applyAlignment="1">
      <alignment vertical="top"/>
    </xf>
    <xf numFmtId="0" fontId="11" fillId="2" borderId="0" xfId="4" applyFont="1" applyFill="1" applyAlignment="1">
      <alignment horizontal="right" vertical="top" wrapText="1"/>
    </xf>
    <xf numFmtId="0" fontId="11" fillId="2" borderId="0" xfId="4" applyFont="1" applyFill="1"/>
    <xf numFmtId="0" fontId="11" fillId="2" borderId="0" xfId="4" applyFont="1" applyFill="1" applyAlignment="1">
      <alignment horizontal="right" wrapText="1"/>
    </xf>
    <xf numFmtId="3" fontId="11" fillId="2" borderId="0" xfId="4" applyNumberFormat="1" applyFont="1" applyFill="1" applyAlignment="1">
      <alignment horizontal="right"/>
    </xf>
    <xf numFmtId="164" fontId="7" fillId="2" borderId="1" xfId="4" applyNumberFormat="1" applyFont="1" applyFill="1" applyBorder="1" applyAlignment="1"/>
    <xf numFmtId="164" fontId="4" fillId="2" borderId="0" xfId="4" applyNumberFormat="1" applyFill="1"/>
    <xf numFmtId="164" fontId="23" fillId="2" borderId="0" xfId="4" applyNumberFormat="1" applyFont="1" applyFill="1" applyAlignment="1">
      <alignment horizontal="left" indent="1"/>
    </xf>
    <xf numFmtId="37" fontId="4" fillId="2" borderId="2" xfId="4" applyNumberFormat="1" applyFont="1" applyFill="1" applyBorder="1"/>
    <xf numFmtId="37" fontId="11" fillId="2" borderId="2" xfId="4" applyNumberFormat="1" applyFont="1" applyFill="1" applyBorder="1"/>
    <xf numFmtId="37" fontId="11" fillId="2" borderId="0" xfId="4" applyNumberFormat="1" applyFont="1" applyFill="1" applyBorder="1"/>
    <xf numFmtId="37" fontId="6" fillId="2" borderId="0" xfId="4" applyNumberFormat="1" applyFont="1" applyFill="1" applyAlignment="1">
      <alignment horizontal="left"/>
    </xf>
    <xf numFmtId="37" fontId="9" fillId="2" borderId="0" xfId="4" applyNumberFormat="1" applyFont="1" applyFill="1"/>
    <xf numFmtId="37" fontId="6" fillId="2" borderId="0" xfId="4" applyNumberFormat="1" applyFont="1" applyFill="1" applyBorder="1"/>
    <xf numFmtId="37" fontId="5" fillId="2" borderId="0" xfId="4" applyNumberFormat="1" applyFont="1" applyFill="1" applyBorder="1" applyAlignment="1">
      <alignment horizontal="centerContinuous"/>
    </xf>
    <xf numFmtId="37" fontId="7" fillId="2" borderId="0" xfId="4" applyNumberFormat="1" applyFont="1" applyFill="1" applyBorder="1" applyAlignment="1">
      <alignment horizontal="center"/>
    </xf>
    <xf numFmtId="37" fontId="5" fillId="2" borderId="0" xfId="4" applyNumberFormat="1" applyFont="1" applyFill="1" applyAlignment="1">
      <alignment horizontal="left" indent="1"/>
    </xf>
    <xf numFmtId="37" fontId="7" fillId="2" borderId="0" xfId="4" applyNumberFormat="1" applyFont="1" applyFill="1" applyBorder="1" applyAlignment="1"/>
    <xf numFmtId="37" fontId="5" fillId="2" borderId="0" xfId="4" applyNumberFormat="1" applyFont="1" applyFill="1" applyAlignment="1">
      <alignment horizontal="center"/>
    </xf>
    <xf numFmtId="37" fontId="24" fillId="2" borderId="0" xfId="4" applyNumberFormat="1" applyFont="1" applyFill="1" applyAlignment="1">
      <alignment horizontal="left"/>
    </xf>
    <xf numFmtId="37" fontId="24" fillId="2" borderId="0" xfId="4" applyNumberFormat="1" applyFont="1" applyFill="1" applyBorder="1"/>
    <xf numFmtId="37" fontId="24" fillId="2" borderId="0" xfId="4" applyNumberFormat="1" applyFont="1" applyFill="1" applyBorder="1" applyAlignment="1"/>
    <xf numFmtId="37" fontId="24" fillId="2" borderId="0" xfId="4" applyNumberFormat="1" applyFont="1" applyFill="1"/>
    <xf numFmtId="37" fontId="15" fillId="2" borderId="0" xfId="4" applyNumberFormat="1" applyFont="1" applyFill="1" applyBorder="1"/>
    <xf numFmtId="37" fontId="8" fillId="2" borderId="0" xfId="4" applyNumberFormat="1" applyFont="1" applyFill="1" applyBorder="1"/>
    <xf numFmtId="37" fontId="7" fillId="2" borderId="0" xfId="4" applyNumberFormat="1" applyFont="1" applyFill="1" applyAlignment="1">
      <alignment horizontal="left" wrapText="1"/>
    </xf>
    <xf numFmtId="37" fontId="7" fillId="2" borderId="0" xfId="4" applyNumberFormat="1" applyFont="1" applyFill="1" applyBorder="1" applyAlignment="1">
      <alignment horizontal="right" wrapText="1"/>
    </xf>
    <xf numFmtId="37" fontId="5" fillId="2" borderId="0" xfId="4" applyNumberFormat="1" applyFont="1" applyFill="1" applyBorder="1" applyAlignment="1">
      <alignment wrapText="1"/>
    </xf>
    <xf numFmtId="37" fontId="5" fillId="2" borderId="0" xfId="4" quotePrefix="1" applyNumberFormat="1" applyFont="1" applyFill="1" applyAlignment="1">
      <alignment horizontal="left"/>
    </xf>
    <xf numFmtId="37" fontId="15" fillId="2" borderId="0" xfId="4" applyNumberFormat="1" applyFont="1" applyFill="1" applyBorder="1" applyAlignment="1">
      <alignment horizontal="right"/>
    </xf>
    <xf numFmtId="37" fontId="8" fillId="2" borderId="0" xfId="4" applyNumberFormat="1" applyFont="1" applyFill="1"/>
    <xf numFmtId="37" fontId="8" fillId="2" borderId="0" xfId="4" applyNumberFormat="1" applyFont="1" applyFill="1" applyBorder="1" applyAlignment="1">
      <alignment horizontal="right"/>
    </xf>
    <xf numFmtId="37" fontId="6" fillId="2" borderId="0" xfId="4" applyNumberFormat="1" applyFont="1" applyFill="1" applyAlignment="1">
      <alignment horizontal="right"/>
    </xf>
    <xf numFmtId="37" fontId="13" fillId="2" borderId="0" xfId="4" applyNumberFormat="1" applyFont="1" applyFill="1"/>
    <xf numFmtId="164" fontId="17" fillId="2" borderId="2" xfId="4" applyNumberFormat="1" applyFont="1" applyFill="1" applyBorder="1"/>
    <xf numFmtId="164" fontId="19" fillId="2" borderId="0" xfId="4" applyNumberFormat="1" applyFont="1" applyFill="1" applyAlignment="1"/>
    <xf numFmtId="164" fontId="8" fillId="2" borderId="0" xfId="4" applyNumberFormat="1" applyFont="1" applyFill="1" applyBorder="1"/>
    <xf numFmtId="164" fontId="5" fillId="2" borderId="0" xfId="4" applyNumberFormat="1" applyFont="1" applyFill="1" applyAlignment="1">
      <alignment horizontal="justify" vertical="top" wrapText="1"/>
    </xf>
    <xf numFmtId="164" fontId="5" fillId="2" borderId="0" xfId="4" applyNumberFormat="1" applyFont="1" applyFill="1" applyAlignment="1">
      <alignment vertical="top" wrapText="1"/>
    </xf>
    <xf numFmtId="164" fontId="7" fillId="2" borderId="0" xfId="4" applyNumberFormat="1" applyFont="1" applyFill="1" applyAlignment="1">
      <alignment horizontal="left" vertical="top" wrapText="1"/>
    </xf>
    <xf numFmtId="164" fontId="7" fillId="2" borderId="0" xfId="4" applyNumberFormat="1" applyFont="1" applyFill="1" applyAlignment="1">
      <alignment horizontal="right" vertical="top" wrapText="1"/>
    </xf>
    <xf numFmtId="164" fontId="7" fillId="2" borderId="0" xfId="4" applyNumberFormat="1" applyFont="1" applyFill="1" applyAlignment="1">
      <alignment horizontal="justify" vertical="top" wrapText="1"/>
    </xf>
    <xf numFmtId="164" fontId="22" fillId="2" borderId="0" xfId="4" applyNumberFormat="1" applyFont="1" applyFill="1" applyAlignment="1">
      <alignment horizontal="left" vertical="top" wrapText="1"/>
    </xf>
    <xf numFmtId="164" fontId="5" fillId="2" borderId="0" xfId="4" applyNumberFormat="1" applyFont="1" applyFill="1" applyAlignment="1">
      <alignment horizontal="right" vertical="top" wrapText="1"/>
    </xf>
    <xf numFmtId="4" fontId="5" fillId="2" borderId="0" xfId="4" applyNumberFormat="1" applyFont="1" applyFill="1" applyAlignment="1">
      <alignment horizontal="right" vertical="top" wrapText="1"/>
    </xf>
    <xf numFmtId="164" fontId="5" fillId="2" borderId="0" xfId="4" applyNumberFormat="1" applyFont="1" applyFill="1" applyAlignment="1">
      <alignment horizontal="left" wrapText="1"/>
    </xf>
    <xf numFmtId="164" fontId="5" fillId="2" borderId="0" xfId="4" applyNumberFormat="1" applyFont="1" applyFill="1" applyAlignment="1">
      <alignment horizontal="right" wrapText="1"/>
    </xf>
    <xf numFmtId="164" fontId="5" fillId="2" borderId="0" xfId="4" applyNumberFormat="1" applyFont="1" applyFill="1" applyAlignment="1">
      <alignment horizontal="right" vertical="center" wrapText="1"/>
    </xf>
    <xf numFmtId="164" fontId="5" fillId="2" borderId="0" xfId="4" applyNumberFormat="1" applyFont="1" applyFill="1" applyAlignment="1">
      <alignment horizontal="center" wrapText="1"/>
    </xf>
    <xf numFmtId="164" fontId="7" fillId="2" borderId="0" xfId="4" applyNumberFormat="1" applyFont="1" applyFill="1" applyBorder="1" applyAlignment="1">
      <alignment horizontal="right" wrapText="1"/>
    </xf>
    <xf numFmtId="4" fontId="5" fillId="2" borderId="0" xfId="4" applyNumberFormat="1" applyFont="1" applyFill="1" applyAlignment="1">
      <alignment horizontal="right" wrapText="1"/>
    </xf>
    <xf numFmtId="164" fontId="5" fillId="2" borderId="0" xfId="4" applyNumberFormat="1" applyFont="1" applyFill="1" applyBorder="1" applyAlignment="1">
      <alignment horizontal="right" vertical="top" wrapText="1"/>
    </xf>
    <xf numFmtId="164" fontId="15" fillId="2" borderId="0" xfId="4" applyNumberFormat="1" applyFont="1" applyFill="1"/>
    <xf numFmtId="164" fontId="5" fillId="2" borderId="0" xfId="4" applyNumberFormat="1" applyFont="1" applyFill="1" applyAlignment="1">
      <alignment wrapText="1"/>
    </xf>
    <xf numFmtId="164" fontId="8" fillId="2" borderId="0" xfId="4" applyNumberFormat="1" applyFont="1" applyFill="1"/>
    <xf numFmtId="3" fontId="7" fillId="2" borderId="0" xfId="4" applyNumberFormat="1" applyFont="1" applyFill="1" applyBorder="1" applyAlignment="1">
      <alignment horizontal="right" wrapText="1"/>
    </xf>
    <xf numFmtId="164" fontId="19" fillId="2" borderId="0" xfId="4" applyNumberFormat="1" applyFont="1" applyFill="1" applyAlignment="1">
      <alignment horizontal="justify" vertical="top" wrapText="1"/>
    </xf>
    <xf numFmtId="4" fontId="7" fillId="2" borderId="0" xfId="4" applyNumberFormat="1" applyFont="1" applyFill="1"/>
    <xf numFmtId="4" fontId="5" fillId="2" borderId="0" xfId="4" applyNumberFormat="1" applyFont="1" applyFill="1"/>
    <xf numFmtId="4" fontId="7" fillId="2" borderId="9" xfId="4" applyNumberFormat="1" applyFont="1" applyFill="1" applyBorder="1" applyAlignment="1">
      <alignment horizontal="right"/>
    </xf>
    <xf numFmtId="37" fontId="11" fillId="2" borderId="0" xfId="4" applyNumberFormat="1" applyFont="1" applyFill="1" applyAlignment="1">
      <alignment horizontal="right"/>
    </xf>
    <xf numFmtId="37" fontId="10" fillId="2" borderId="0" xfId="4" applyNumberFormat="1" applyFont="1" applyFill="1" applyAlignment="1">
      <alignment horizontal="left"/>
    </xf>
    <xf numFmtId="37" fontId="12" fillId="2" borderId="0" xfId="4" applyNumberFormat="1" applyFont="1" applyFill="1" applyBorder="1" applyAlignment="1">
      <alignment horizontal="left"/>
    </xf>
    <xf numFmtId="37" fontId="4" fillId="2" borderId="2" xfId="4" applyNumberFormat="1" applyFont="1" applyFill="1" applyBorder="1" applyAlignment="1">
      <alignment horizontal="left"/>
    </xf>
    <xf numFmtId="37" fontId="4" fillId="2" borderId="0" xfId="4" applyNumberFormat="1" applyFont="1" applyFill="1" applyBorder="1" applyAlignment="1">
      <alignment horizontal="left"/>
    </xf>
    <xf numFmtId="37" fontId="11" fillId="2" borderId="0" xfId="4" applyNumberFormat="1" applyFont="1" applyFill="1" applyBorder="1" applyAlignment="1">
      <alignment horizontal="left"/>
    </xf>
    <xf numFmtId="37" fontId="11" fillId="2" borderId="0" xfId="4" applyNumberFormat="1" applyFont="1" applyFill="1" applyAlignment="1">
      <alignment horizontal="left"/>
    </xf>
    <xf numFmtId="164" fontId="28" fillId="0" borderId="0" xfId="4" applyNumberFormat="1" applyFont="1" applyFill="1" applyAlignment="1">
      <alignment horizontal="left"/>
    </xf>
    <xf numFmtId="37" fontId="11" fillId="2" borderId="3" xfId="4" applyNumberFormat="1" applyFont="1" applyFill="1" applyBorder="1"/>
    <xf numFmtId="37" fontId="4" fillId="2" borderId="0" xfId="4" applyNumberFormat="1" applyFont="1" applyFill="1" applyAlignment="1">
      <alignment horizontal="right"/>
    </xf>
    <xf numFmtId="164" fontId="5" fillId="2" borderId="0" xfId="4" applyNumberFormat="1" applyFont="1" applyFill="1" applyBorder="1" applyAlignment="1">
      <alignment horizontal="right" wrapText="1"/>
    </xf>
    <xf numFmtId="164" fontId="20" fillId="2" borderId="0" xfId="4" applyNumberFormat="1" applyFont="1" applyFill="1" applyAlignment="1"/>
    <xf numFmtId="169" fontId="27" fillId="0" borderId="0" xfId="5" applyNumberFormat="1" applyFont="1" applyFill="1" applyBorder="1" applyAlignment="1">
      <alignment horizontal="right"/>
    </xf>
    <xf numFmtId="164" fontId="17" fillId="2" borderId="0" xfId="4" applyNumberFormat="1" applyFont="1" applyFill="1" applyBorder="1" applyAlignment="1"/>
    <xf numFmtId="0" fontId="7" fillId="0" borderId="0" xfId="2" applyFont="1" applyAlignment="1">
      <alignment horizontal="left"/>
    </xf>
    <xf numFmtId="164" fontId="5" fillId="0" borderId="0" xfId="4" applyNumberFormat="1" applyFont="1" applyFill="1" applyAlignment="1"/>
    <xf numFmtId="166" fontId="11" fillId="2" borderId="0" xfId="1" applyNumberFormat="1" applyFont="1" applyFill="1" applyAlignment="1"/>
    <xf numFmtId="169" fontId="46" fillId="0" borderId="7" xfId="0" applyNumberFormat="1" applyFont="1" applyFill="1" applyBorder="1" applyAlignment="1" applyProtection="1">
      <alignment horizontal="right"/>
    </xf>
    <xf numFmtId="37" fontId="7" fillId="0" borderId="0" xfId="4" applyNumberFormat="1" applyFont="1" applyFill="1" applyBorder="1" applyAlignment="1"/>
    <xf numFmtId="37" fontId="24" fillId="0" borderId="0" xfId="4" applyNumberFormat="1" applyFont="1" applyFill="1" applyBorder="1"/>
    <xf numFmtId="37" fontId="24" fillId="0" borderId="0" xfId="4" applyNumberFormat="1" applyFont="1" applyFill="1" applyBorder="1" applyAlignment="1"/>
    <xf numFmtId="37" fontId="24" fillId="0" borderId="0" xfId="4" applyNumberFormat="1" applyFont="1" applyFill="1"/>
    <xf numFmtId="37" fontId="8" fillId="0" borderId="0" xfId="4" applyNumberFormat="1" applyFont="1" applyFill="1" applyBorder="1" applyAlignment="1">
      <alignment horizontal="right"/>
    </xf>
    <xf numFmtId="167" fontId="10" fillId="0" borderId="0" xfId="8" applyNumberFormat="1" applyFont="1" applyFill="1" applyBorder="1"/>
    <xf numFmtId="167" fontId="12" fillId="0" borderId="0" xfId="8" applyNumberFormat="1" applyFont="1" applyFill="1" applyBorder="1"/>
    <xf numFmtId="167" fontId="6" fillId="0" borderId="10" xfId="8" applyNumberFormat="1" applyFont="1" applyFill="1" applyBorder="1"/>
    <xf numFmtId="167" fontId="7" fillId="0" borderId="10" xfId="8" applyNumberFormat="1" applyFont="1" applyFill="1" applyBorder="1"/>
    <xf numFmtId="167" fontId="7" fillId="0" borderId="0" xfId="8" applyNumberFormat="1" applyFont="1" applyFill="1" applyBorder="1" applyAlignment="1">
      <alignment horizontal="center"/>
    </xf>
    <xf numFmtId="167" fontId="7" fillId="0" borderId="0" xfId="8" applyNumberFormat="1" applyFont="1" applyFill="1" applyBorder="1"/>
    <xf numFmtId="167" fontId="5" fillId="0" borderId="0" xfId="8" applyNumberFormat="1" applyFont="1" applyFill="1" applyBorder="1"/>
    <xf numFmtId="43" fontId="7" fillId="0" borderId="0" xfId="7" applyFont="1" applyFill="1" applyBorder="1" applyAlignment="1">
      <alignment horizontal="right" wrapText="1"/>
    </xf>
    <xf numFmtId="43" fontId="7" fillId="0" borderId="0" xfId="7" applyFont="1" applyFill="1" applyBorder="1" applyAlignment="1">
      <alignment horizontal="right"/>
    </xf>
    <xf numFmtId="167" fontId="5" fillId="0" borderId="0" xfId="8" applyNumberFormat="1" applyFont="1" applyFill="1" applyBorder="1" applyAlignment="1"/>
    <xf numFmtId="167" fontId="7" fillId="0" borderId="0" xfId="8" applyNumberFormat="1" applyFont="1" applyFill="1" applyBorder="1" applyAlignment="1"/>
    <xf numFmtId="167" fontId="5" fillId="0" borderId="6" xfId="8" applyNumberFormat="1" applyFont="1" applyFill="1" applyBorder="1" applyAlignment="1"/>
    <xf numFmtId="167" fontId="7" fillId="0" borderId="6" xfId="8" applyNumberFormat="1" applyFont="1" applyFill="1" applyBorder="1" applyAlignment="1"/>
    <xf numFmtId="167" fontId="5" fillId="0" borderId="3" xfId="8" applyNumberFormat="1" applyFont="1" applyFill="1" applyBorder="1" applyAlignment="1"/>
    <xf numFmtId="167" fontId="7" fillId="0" borderId="3" xfId="8" applyNumberFormat="1" applyFont="1" applyFill="1" applyBorder="1" applyAlignment="1"/>
    <xf numFmtId="167" fontId="7" fillId="0" borderId="3" xfId="8" applyNumberFormat="1" applyFont="1" applyFill="1" applyBorder="1"/>
    <xf numFmtId="167" fontId="5" fillId="0" borderId="0" xfId="8" applyNumberFormat="1" applyFont="1" applyFill="1" applyBorder="1" applyAlignment="1">
      <alignment horizontal="left"/>
    </xf>
    <xf numFmtId="43" fontId="7" fillId="0" borderId="0" xfId="7" quotePrefix="1" applyFont="1" applyFill="1" applyBorder="1" applyAlignment="1">
      <alignment horizontal="right"/>
    </xf>
    <xf numFmtId="167" fontId="7" fillId="0" borderId="0" xfId="8" applyNumberFormat="1" applyFont="1" applyFill="1" applyBorder="1" applyAlignment="1">
      <alignment horizontal="right"/>
    </xf>
    <xf numFmtId="167" fontId="10" fillId="0" borderId="0" xfId="6" applyNumberFormat="1" applyFont="1" applyFill="1" applyBorder="1"/>
    <xf numFmtId="167" fontId="12" fillId="0" borderId="0" xfId="6" applyNumberFormat="1" applyFont="1" applyFill="1" applyBorder="1"/>
    <xf numFmtId="167" fontId="6" fillId="0" borderId="10" xfId="6" applyNumberFormat="1" applyFont="1" applyFill="1" applyBorder="1"/>
    <xf numFmtId="167" fontId="7" fillId="0" borderId="10" xfId="6" applyNumberFormat="1" applyFont="1" applyFill="1" applyBorder="1"/>
    <xf numFmtId="167" fontId="6" fillId="0" borderId="0" xfId="6" applyNumberFormat="1" applyFont="1" applyFill="1" applyBorder="1"/>
    <xf numFmtId="167" fontId="7" fillId="0" borderId="0" xfId="6" applyNumberFormat="1" applyFont="1" applyFill="1" applyBorder="1"/>
    <xf numFmtId="167" fontId="7" fillId="0" borderId="0" xfId="6" applyNumberFormat="1" applyFont="1" applyFill="1" applyBorder="1" applyAlignment="1">
      <alignment horizontal="center"/>
    </xf>
    <xf numFmtId="167" fontId="5" fillId="0" borderId="0" xfId="6" applyNumberFormat="1" applyFont="1" applyFill="1" applyBorder="1"/>
    <xf numFmtId="167" fontId="7" fillId="0" borderId="0" xfId="6" applyNumberFormat="1" applyFont="1" applyFill="1" applyBorder="1" applyAlignment="1">
      <alignment horizontal="right"/>
    </xf>
    <xf numFmtId="43" fontId="7" fillId="0" borderId="0" xfId="3" applyFont="1" applyFill="1" applyBorder="1" applyAlignment="1">
      <alignment horizontal="right" wrapText="1"/>
    </xf>
    <xf numFmtId="43" fontId="7" fillId="0" borderId="0" xfId="3" applyFont="1" applyFill="1" applyBorder="1" applyAlignment="1">
      <alignment horizontal="right"/>
    </xf>
    <xf numFmtId="167" fontId="5" fillId="0" borderId="11" xfId="6" applyNumberFormat="1" applyFont="1" applyFill="1" applyBorder="1" applyAlignment="1"/>
    <xf numFmtId="167" fontId="7" fillId="0" borderId="11" xfId="6" applyNumberFormat="1" applyFont="1" applyFill="1" applyBorder="1" applyAlignment="1"/>
    <xf numFmtId="167" fontId="5" fillId="0" borderId="0" xfId="6" applyNumberFormat="1" applyFont="1" applyFill="1" applyBorder="1" applyAlignment="1"/>
    <xf numFmtId="167" fontId="7" fillId="0" borderId="0" xfId="6" applyNumberFormat="1" applyFont="1" applyFill="1" applyBorder="1" applyAlignment="1"/>
    <xf numFmtId="167" fontId="5" fillId="0" borderId="12" xfId="6" applyNumberFormat="1" applyFont="1" applyFill="1" applyBorder="1" applyAlignment="1"/>
    <xf numFmtId="167" fontId="7" fillId="0" borderId="12" xfId="6" applyNumberFormat="1" applyFont="1" applyFill="1" applyBorder="1" applyAlignment="1"/>
    <xf numFmtId="167" fontId="5" fillId="0" borderId="0" xfId="6" applyNumberFormat="1" applyFont="1" applyFill="1" applyBorder="1" applyAlignment="1">
      <alignment horizontal="right"/>
    </xf>
    <xf numFmtId="164" fontId="6" fillId="0" borderId="0" xfId="6" applyNumberFormat="1" applyFont="1" applyFill="1" applyBorder="1"/>
    <xf numFmtId="164" fontId="7" fillId="0" borderId="0" xfId="6" applyNumberFormat="1" applyFont="1" applyFill="1" applyBorder="1"/>
    <xf numFmtId="164" fontId="47" fillId="0" borderId="0" xfId="6" applyNumberFormat="1" applyFont="1" applyFill="1" applyBorder="1"/>
    <xf numFmtId="164" fontId="48" fillId="0" borderId="0" xfId="6" applyNumberFormat="1" applyFont="1" applyFill="1" applyBorder="1"/>
    <xf numFmtId="164" fontId="7" fillId="0" borderId="0" xfId="6" applyNumberFormat="1" applyFont="1" applyFill="1" applyBorder="1" applyAlignment="1">
      <alignment horizontal="right"/>
    </xf>
    <xf numFmtId="167" fontId="4" fillId="0" borderId="0" xfId="6" applyNumberFormat="1" applyFont="1" applyFill="1" applyBorder="1"/>
    <xf numFmtId="164" fontId="5" fillId="0" borderId="0" xfId="6" applyNumberFormat="1" applyFont="1" applyFill="1" applyAlignment="1">
      <alignment horizontal="left" indent="1"/>
    </xf>
    <xf numFmtId="164" fontId="5" fillId="0" borderId="0" xfId="6" applyNumberFormat="1" applyFont="1" applyFill="1" applyBorder="1" applyAlignment="1"/>
    <xf numFmtId="164" fontId="7" fillId="0" borderId="0" xfId="6" applyNumberFormat="1" applyFont="1" applyFill="1" applyBorder="1" applyAlignment="1"/>
    <xf numFmtId="164" fontId="7" fillId="0" borderId="12" xfId="6" applyNumberFormat="1" applyFont="1" applyFill="1" applyBorder="1" applyAlignment="1"/>
    <xf numFmtId="167" fontId="7" fillId="0" borderId="0" xfId="6" applyNumberFormat="1" applyFont="1" applyFill="1" applyBorder="1" applyAlignment="1">
      <alignment horizontal="left"/>
    </xf>
    <xf numFmtId="37" fontId="10" fillId="0" borderId="0" xfId="6" applyNumberFormat="1" applyFont="1" applyFill="1"/>
    <xf numFmtId="37" fontId="12" fillId="0" borderId="0" xfId="6" applyNumberFormat="1" applyFont="1" applyFill="1" applyBorder="1"/>
    <xf numFmtId="37" fontId="6" fillId="0" borderId="2" xfId="6" applyNumberFormat="1" applyFont="1" applyFill="1" applyBorder="1"/>
    <xf numFmtId="37" fontId="12" fillId="0" borderId="2" xfId="6" applyNumberFormat="1" applyFont="1" applyFill="1" applyBorder="1"/>
    <xf numFmtId="37" fontId="9" fillId="0" borderId="2" xfId="6" applyNumberFormat="1" applyFont="1" applyFill="1" applyBorder="1" applyAlignment="1">
      <alignment horizontal="center"/>
    </xf>
    <xf numFmtId="37" fontId="9" fillId="0" borderId="2" xfId="6" applyNumberFormat="1" applyFont="1" applyFill="1" applyBorder="1"/>
    <xf numFmtId="37" fontId="6" fillId="0" borderId="2" xfId="6" applyNumberFormat="1" applyFont="1" applyFill="1" applyBorder="1" applyAlignment="1">
      <alignment horizontal="center"/>
    </xf>
    <xf numFmtId="37" fontId="6" fillId="0" borderId="0" xfId="6" applyNumberFormat="1" applyFont="1" applyFill="1"/>
    <xf numFmtId="37" fontId="7" fillId="0" borderId="0" xfId="6" applyNumberFormat="1" applyFont="1" applyFill="1" applyBorder="1" applyAlignment="1">
      <alignment horizontal="left"/>
    </xf>
    <xf numFmtId="37" fontId="7" fillId="0" borderId="0" xfId="6" applyNumberFormat="1" applyFont="1" applyFill="1" applyBorder="1"/>
    <xf numFmtId="37" fontId="5" fillId="0" borderId="0" xfId="6" applyNumberFormat="1" applyFont="1" applyFill="1" applyBorder="1"/>
    <xf numFmtId="37" fontId="7" fillId="0" borderId="0" xfId="6" applyNumberFormat="1" applyFont="1" applyFill="1" applyBorder="1" applyAlignment="1">
      <alignment horizontal="center"/>
    </xf>
    <xf numFmtId="37" fontId="5" fillId="0" borderId="0" xfId="6" applyNumberFormat="1" applyFont="1" applyFill="1" applyBorder="1" applyAlignment="1">
      <alignment horizontal="center"/>
    </xf>
    <xf numFmtId="37" fontId="5" fillId="0" borderId="0" xfId="6" applyNumberFormat="1" applyFont="1" applyFill="1"/>
    <xf numFmtId="37" fontId="7" fillId="0" borderId="0" xfId="6" applyNumberFormat="1" applyFont="1" applyFill="1" applyAlignment="1">
      <alignment horizontal="center"/>
    </xf>
    <xf numFmtId="37" fontId="7" fillId="0" borderId="0" xfId="6" applyNumberFormat="1" applyFont="1" applyFill="1"/>
    <xf numFmtId="37" fontId="7" fillId="0" borderId="0" xfId="6" applyNumberFormat="1" applyFont="1" applyFill="1" applyAlignment="1">
      <alignment horizontal="right"/>
    </xf>
    <xf numFmtId="37" fontId="5" fillId="0" borderId="0" xfId="6" applyNumberFormat="1" applyFont="1" applyFill="1" applyBorder="1" applyAlignment="1">
      <alignment horizontal="right"/>
    </xf>
    <xf numFmtId="37" fontId="5" fillId="0" borderId="0" xfId="6" applyNumberFormat="1" applyFont="1" applyFill="1" applyBorder="1" applyAlignment="1"/>
    <xf numFmtId="37" fontId="5" fillId="0" borderId="0" xfId="6" applyNumberFormat="1" applyFont="1" applyFill="1" applyAlignment="1">
      <alignment horizontal="center"/>
    </xf>
    <xf numFmtId="37" fontId="7" fillId="0" borderId="16" xfId="6" applyNumberFormat="1" applyFont="1" applyFill="1" applyBorder="1" applyAlignment="1">
      <alignment horizontal="right"/>
    </xf>
    <xf numFmtId="37" fontId="5" fillId="0" borderId="0" xfId="6" applyNumberFormat="1" applyFont="1" applyFill="1" applyAlignment="1">
      <alignment horizontal="right"/>
    </xf>
    <xf numFmtId="37" fontId="5" fillId="0" borderId="17" xfId="6" applyNumberFormat="1" applyFont="1" applyFill="1" applyBorder="1" applyAlignment="1">
      <alignment horizontal="right"/>
    </xf>
    <xf numFmtId="37" fontId="7" fillId="0" borderId="0" xfId="6" applyNumberFormat="1" applyFont="1" applyFill="1" applyBorder="1" applyAlignment="1">
      <alignment horizontal="right"/>
    </xf>
    <xf numFmtId="37" fontId="8" fillId="0" borderId="0" xfId="6" applyNumberFormat="1" applyFont="1" applyFill="1"/>
    <xf numFmtId="37" fontId="15" fillId="0" borderId="0" xfId="6" applyNumberFormat="1" applyFont="1" applyFill="1"/>
    <xf numFmtId="37" fontId="7" fillId="0" borderId="0" xfId="6" applyNumberFormat="1" applyFont="1" applyFill="1" applyAlignment="1">
      <alignment horizontal="right" vertical="top" wrapText="1"/>
    </xf>
    <xf numFmtId="37" fontId="7" fillId="0" borderId="0" xfId="6" applyNumberFormat="1" applyFont="1" applyFill="1" applyAlignment="1">
      <alignment vertical="top"/>
    </xf>
    <xf numFmtId="37" fontId="7" fillId="0" borderId="0" xfId="6" applyNumberFormat="1" applyFont="1" applyFill="1" applyAlignment="1">
      <alignment horizontal="center" vertical="top"/>
    </xf>
    <xf numFmtId="37" fontId="7" fillId="0" borderId="0" xfId="6" applyNumberFormat="1" applyFont="1" applyFill="1" applyAlignment="1">
      <alignment horizontal="right" vertical="top"/>
    </xf>
    <xf numFmtId="37" fontId="7" fillId="0" borderId="0" xfId="6" applyNumberFormat="1" applyFont="1" applyFill="1" applyAlignment="1">
      <alignment horizontal="center" wrapText="1"/>
    </xf>
    <xf numFmtId="37" fontId="7" fillId="0" borderId="0" xfId="6" applyNumberFormat="1" applyFont="1" applyFill="1" applyAlignment="1">
      <alignment horizontal="center" vertical="top" wrapText="1"/>
    </xf>
    <xf numFmtId="37" fontId="7" fillId="0" borderId="14" xfId="6" applyNumberFormat="1" applyFont="1" applyFill="1" applyBorder="1" applyAlignment="1">
      <alignment horizontal="right"/>
    </xf>
    <xf numFmtId="37" fontId="7" fillId="0" borderId="12" xfId="6" applyNumberFormat="1" applyFont="1" applyFill="1" applyBorder="1"/>
    <xf numFmtId="37" fontId="5" fillId="0" borderId="12" xfId="6" applyNumberFormat="1" applyFont="1" applyFill="1" applyBorder="1"/>
    <xf numFmtId="37" fontId="49" fillId="0" borderId="0" xfId="6" applyNumberFormat="1" applyFont="1" applyFill="1"/>
    <xf numFmtId="37" fontId="49" fillId="0" borderId="0" xfId="6" applyNumberFormat="1" applyFont="1" applyFill="1" applyAlignment="1">
      <alignment horizontal="left"/>
    </xf>
    <xf numFmtId="37" fontId="49" fillId="0" borderId="0" xfId="6" applyNumberFormat="1" applyFont="1" applyFill="1" applyAlignment="1">
      <alignment horizontal="center"/>
    </xf>
    <xf numFmtId="37" fontId="50" fillId="0" borderId="0" xfId="6" applyNumberFormat="1" applyFont="1" applyFill="1"/>
    <xf numFmtId="37" fontId="50" fillId="0" borderId="0" xfId="6" applyNumberFormat="1" applyFont="1" applyFill="1" applyAlignment="1">
      <alignment horizontal="center"/>
    </xf>
    <xf numFmtId="37" fontId="50" fillId="0" borderId="0" xfId="6" applyNumberFormat="1" applyFont="1" applyFill="1" applyAlignment="1">
      <alignment horizontal="left"/>
    </xf>
    <xf numFmtId="37" fontId="9" fillId="0" borderId="0" xfId="6" applyNumberFormat="1" applyFont="1" applyFill="1" applyAlignment="1">
      <alignment horizontal="center"/>
    </xf>
    <xf numFmtId="37" fontId="9" fillId="0" borderId="0" xfId="6" applyNumberFormat="1" applyFont="1" applyFill="1"/>
    <xf numFmtId="37" fontId="9" fillId="0" borderId="0" xfId="6" applyNumberFormat="1" applyFont="1" applyFill="1" applyBorder="1" applyAlignment="1">
      <alignment horizontal="right"/>
    </xf>
    <xf numFmtId="37" fontId="6" fillId="0" borderId="0" xfId="6" applyNumberFormat="1" applyFont="1" applyFill="1" applyBorder="1"/>
    <xf numFmtId="37" fontId="6" fillId="0" borderId="0" xfId="6" applyNumberFormat="1" applyFont="1" applyFill="1" applyBorder="1" applyAlignment="1">
      <alignment horizontal="center"/>
    </xf>
    <xf numFmtId="37" fontId="6" fillId="0" borderId="0" xfId="6" applyNumberFormat="1" applyFont="1" applyFill="1" applyBorder="1" applyAlignment="1">
      <alignment horizontal="right"/>
    </xf>
    <xf numFmtId="37" fontId="4" fillId="0" borderId="0" xfId="6" applyNumberFormat="1" applyFont="1" applyFill="1"/>
    <xf numFmtId="37" fontId="4" fillId="0" borderId="0" xfId="6" applyNumberFormat="1" applyFont="1" applyFill="1" applyAlignment="1">
      <alignment horizontal="center"/>
    </xf>
    <xf numFmtId="37" fontId="11" fillId="0" borderId="0" xfId="6" applyNumberFormat="1" applyFont="1" applyFill="1" applyAlignment="1">
      <alignment horizontal="center"/>
    </xf>
    <xf numFmtId="37" fontId="11" fillId="0" borderId="0" xfId="6" applyNumberFormat="1" applyFont="1" applyFill="1"/>
    <xf numFmtId="37" fontId="11" fillId="0" borderId="0" xfId="6" applyNumberFormat="1" applyFont="1" applyFill="1" applyBorder="1" applyAlignment="1">
      <alignment horizontal="center"/>
    </xf>
    <xf numFmtId="37" fontId="4" fillId="0" borderId="0" xfId="6" applyNumberFormat="1" applyFont="1" applyFill="1" applyBorder="1"/>
    <xf numFmtId="37" fontId="4" fillId="0" borderId="0" xfId="6" applyNumberFormat="1" applyFont="1" applyFill="1" applyBorder="1" applyAlignment="1">
      <alignment horizontal="center"/>
    </xf>
    <xf numFmtId="37" fontId="6" fillId="0" borderId="0" xfId="6" applyNumberFormat="1" applyFont="1" applyFill="1" applyAlignment="1">
      <alignment horizontal="center"/>
    </xf>
    <xf numFmtId="37" fontId="6" fillId="0" borderId="0" xfId="6" applyNumberFormat="1" applyFont="1" applyFill="1" applyAlignment="1">
      <alignment horizontal="right"/>
    </xf>
    <xf numFmtId="0" fontId="10" fillId="2" borderId="0" xfId="6" applyFont="1" applyFill="1"/>
    <xf numFmtId="0" fontId="12" fillId="2" borderId="0" xfId="6" applyFont="1" applyFill="1" applyBorder="1"/>
    <xf numFmtId="0" fontId="6" fillId="2" borderId="2" xfId="6" applyFont="1" applyFill="1" applyBorder="1"/>
    <xf numFmtId="0" fontId="16" fillId="2" borderId="2" xfId="6" applyFont="1" applyFill="1" applyBorder="1"/>
    <xf numFmtId="0" fontId="16" fillId="2" borderId="0" xfId="6" applyFont="1" applyFill="1"/>
    <xf numFmtId="0" fontId="6" fillId="2" borderId="0" xfId="6" applyFont="1" applyFill="1"/>
    <xf numFmtId="0" fontId="5" fillId="2" borderId="0" xfId="6" applyFont="1" applyFill="1" applyBorder="1" applyAlignment="1">
      <alignment horizontal="center"/>
    </xf>
    <xf numFmtId="0" fontId="5" fillId="2" borderId="0" xfId="6" applyFont="1" applyFill="1" applyBorder="1"/>
    <xf numFmtId="0" fontId="7" fillId="2" borderId="0" xfId="6" applyFont="1" applyFill="1" applyBorder="1"/>
    <xf numFmtId="0" fontId="7" fillId="2" borderId="0" xfId="6" applyFont="1" applyFill="1" applyAlignment="1">
      <alignment horizontal="center"/>
    </xf>
    <xf numFmtId="0" fontId="7" fillId="2" borderId="0" xfId="6" applyFont="1" applyFill="1"/>
    <xf numFmtId="0" fontId="5" fillId="2" borderId="0" xfId="6" applyFont="1" applyFill="1"/>
    <xf numFmtId="0" fontId="5" fillId="2" borderId="0" xfId="6" applyFont="1" applyFill="1" applyAlignment="1">
      <alignment horizontal="justify" wrapText="1"/>
    </xf>
    <xf numFmtId="0" fontId="19" fillId="2" borderId="0" xfId="6" applyFont="1" applyFill="1" applyAlignment="1">
      <alignment horizontal="justify" wrapText="1"/>
    </xf>
    <xf numFmtId="0" fontId="20" fillId="2" borderId="0" xfId="6" applyFont="1" applyFill="1" applyAlignment="1">
      <alignment horizontal="justify" wrapText="1"/>
    </xf>
    <xf numFmtId="0" fontId="4" fillId="0" borderId="0" xfId="6" applyFont="1" applyFill="1"/>
    <xf numFmtId="0" fontId="6" fillId="0" borderId="0" xfId="6" applyFont="1" applyFill="1"/>
    <xf numFmtId="0" fontId="5" fillId="0" borderId="0" xfId="6" applyFont="1" applyFill="1" applyBorder="1"/>
    <xf numFmtId="165" fontId="8" fillId="0" borderId="0" xfId="6" applyNumberFormat="1" applyFont="1" applyFill="1" applyBorder="1"/>
    <xf numFmtId="0" fontId="7" fillId="0" borderId="10" xfId="6" applyFont="1" applyFill="1" applyBorder="1" applyAlignment="1">
      <alignment horizontal="left"/>
    </xf>
    <xf numFmtId="0" fontId="7" fillId="0" borderId="10" xfId="6" applyFont="1" applyFill="1" applyBorder="1"/>
    <xf numFmtId="0" fontId="5" fillId="0" borderId="10" xfId="6" applyFont="1" applyFill="1" applyBorder="1"/>
    <xf numFmtId="165" fontId="8" fillId="0" borderId="10" xfId="6" applyNumberFormat="1" applyFont="1" applyFill="1" applyBorder="1"/>
    <xf numFmtId="165" fontId="5" fillId="0" borderId="10" xfId="6" applyNumberFormat="1" applyFont="1" applyFill="1" applyBorder="1"/>
    <xf numFmtId="0" fontId="7" fillId="0" borderId="0" xfId="6" applyFont="1" applyFill="1" applyBorder="1" applyAlignment="1">
      <alignment horizontal="left"/>
    </xf>
    <xf numFmtId="0" fontId="7" fillId="0" borderId="0" xfId="6" applyFont="1" applyFill="1" applyBorder="1"/>
    <xf numFmtId="165" fontId="5" fillId="0" borderId="0" xfId="6" applyNumberFormat="1" applyFont="1" applyFill="1" applyBorder="1"/>
    <xf numFmtId="0" fontId="5" fillId="0" borderId="0" xfId="6" applyFont="1" applyFill="1" applyBorder="1" applyAlignment="1"/>
    <xf numFmtId="0" fontId="19" fillId="0" borderId="0" xfId="6" applyFont="1" applyFill="1" applyBorder="1" applyAlignment="1"/>
    <xf numFmtId="0" fontId="5" fillId="0" borderId="0" xfId="6" applyFont="1" applyFill="1" applyBorder="1" applyAlignment="1">
      <alignment horizontal="justify"/>
    </xf>
    <xf numFmtId="0" fontId="5" fillId="0" borderId="0" xfId="9" applyFont="1" applyFill="1" applyBorder="1" applyAlignment="1" applyProtection="1"/>
    <xf numFmtId="0" fontId="5" fillId="0" borderId="0" xfId="6" applyFont="1" applyFill="1" applyBorder="1" applyAlignment="1">
      <alignment horizontal="left"/>
    </xf>
    <xf numFmtId="0" fontId="19" fillId="0" borderId="0" xfId="6" applyFont="1" applyFill="1" applyBorder="1" applyAlignment="1">
      <alignment wrapText="1"/>
    </xf>
    <xf numFmtId="0" fontId="54" fillId="0" borderId="0" xfId="6" applyFont="1" applyFill="1" applyBorder="1" applyAlignment="1">
      <alignment horizontal="left" indent="1"/>
    </xf>
    <xf numFmtId="0" fontId="50" fillId="0" borderId="0" xfId="6" applyFont="1" applyFill="1" applyBorder="1"/>
    <xf numFmtId="0" fontId="54" fillId="0" borderId="0" xfId="6" applyFont="1" applyFill="1" applyBorder="1"/>
    <xf numFmtId="0" fontId="55" fillId="0" borderId="0" xfId="6" applyFont="1" applyFill="1" applyBorder="1" applyAlignment="1">
      <alignment horizontal="left" vertical="center"/>
    </xf>
    <xf numFmtId="0" fontId="35" fillId="0" borderId="0" xfId="6" applyFont="1" applyFill="1" applyBorder="1"/>
    <xf numFmtId="0" fontId="55" fillId="0" borderId="0" xfId="6" applyFont="1" applyFill="1" applyBorder="1" applyAlignment="1">
      <alignment vertical="center"/>
    </xf>
    <xf numFmtId="0" fontId="5" fillId="0" borderId="0" xfId="6" applyFont="1" applyFill="1" applyBorder="1" applyAlignment="1">
      <alignment horizontal="left" indent="1"/>
    </xf>
    <xf numFmtId="0" fontId="27" fillId="0" borderId="0" xfId="6" applyFont="1" applyFill="1" applyBorder="1" applyAlignment="1">
      <alignment vertical="center"/>
    </xf>
    <xf numFmtId="0" fontId="7" fillId="0" borderId="0" xfId="6" applyFont="1" applyFill="1" applyBorder="1" applyAlignment="1">
      <alignment horizontal="right" wrapText="1"/>
    </xf>
    <xf numFmtId="6" fontId="7" fillId="0" borderId="0" xfId="6" quotePrefix="1" applyNumberFormat="1" applyFont="1" applyFill="1" applyBorder="1" applyAlignment="1">
      <alignment horizontal="right" vertical="center" wrapText="1"/>
    </xf>
    <xf numFmtId="0" fontId="5" fillId="0" borderId="0" xfId="6" applyFont="1" applyFill="1" applyBorder="1" applyAlignment="1">
      <alignment wrapText="1"/>
    </xf>
    <xf numFmtId="6" fontId="5" fillId="0" borderId="0" xfId="6" applyNumberFormat="1" applyFont="1" applyFill="1" applyBorder="1" applyAlignment="1">
      <alignment horizontal="right" vertical="center" wrapText="1"/>
    </xf>
    <xf numFmtId="0" fontId="7" fillId="0" borderId="0" xfId="6" applyFont="1" applyFill="1" applyBorder="1" applyAlignment="1">
      <alignment vertical="center"/>
    </xf>
    <xf numFmtId="0" fontId="5" fillId="0" borderId="0" xfId="6" applyFont="1" applyFill="1" applyBorder="1" applyAlignment="1">
      <alignment vertical="center" wrapText="1"/>
    </xf>
    <xf numFmtId="0" fontId="5" fillId="0" borderId="0" xfId="6" applyFont="1" applyFill="1" applyBorder="1" applyAlignment="1">
      <alignment vertical="center"/>
    </xf>
    <xf numFmtId="165" fontId="5" fillId="0" borderId="5" xfId="6" applyNumberFormat="1" applyFont="1" applyFill="1" applyBorder="1" applyAlignment="1"/>
    <xf numFmtId="165" fontId="5" fillId="0" borderId="0" xfId="6" applyNumberFormat="1" applyFont="1" applyFill="1" applyBorder="1" applyAlignment="1"/>
    <xf numFmtId="165" fontId="5" fillId="0" borderId="12" xfId="6" applyNumberFormat="1" applyFont="1" applyFill="1" applyBorder="1" applyAlignment="1">
      <alignment horizontal="right"/>
    </xf>
    <xf numFmtId="0" fontId="5" fillId="0" borderId="0" xfId="6" applyFont="1" applyFill="1" applyBorder="1" applyAlignment="1">
      <alignment horizontal="left" vertical="center" indent="3"/>
    </xf>
    <xf numFmtId="0" fontId="5" fillId="0" borderId="0" xfId="6" quotePrefix="1" applyFont="1" applyFill="1" applyBorder="1" applyAlignment="1">
      <alignment vertical="center"/>
    </xf>
    <xf numFmtId="0" fontId="5" fillId="2" borderId="2" xfId="6" applyFont="1" applyFill="1" applyBorder="1"/>
    <xf numFmtId="0" fontId="7" fillId="0" borderId="0" xfId="6" applyFont="1" applyFill="1" applyAlignment="1">
      <alignment horizontal="center"/>
    </xf>
    <xf numFmtId="0" fontId="5" fillId="0" borderId="0" xfId="6" applyFont="1" applyFill="1" applyAlignment="1">
      <alignment horizontal="justify" wrapText="1"/>
    </xf>
    <xf numFmtId="0" fontId="19" fillId="0" borderId="0" xfId="6" applyFont="1" applyFill="1" applyAlignment="1">
      <alignment horizontal="justify" wrapText="1"/>
    </xf>
    <xf numFmtId="0" fontId="20" fillId="0" borderId="0" xfId="6" applyFont="1" applyFill="1" applyAlignment="1">
      <alignment horizontal="justify" wrapText="1"/>
    </xf>
    <xf numFmtId="0" fontId="5" fillId="0" borderId="0" xfId="6" applyFont="1"/>
    <xf numFmtId="165" fontId="7" fillId="0" borderId="16" xfId="6" applyNumberFormat="1" applyFont="1" applyFill="1" applyBorder="1" applyAlignment="1">
      <alignment horizontal="right"/>
    </xf>
    <xf numFmtId="0" fontId="5" fillId="0" borderId="0" xfId="6" applyFont="1" applyAlignment="1">
      <alignment horizontal="left" wrapText="1"/>
    </xf>
    <xf numFmtId="0" fontId="5" fillId="0" borderId="0" xfId="6" applyNumberFormat="1" applyFont="1" applyFill="1"/>
    <xf numFmtId="0" fontId="5" fillId="0" borderId="0" xfId="6" applyNumberFormat="1" applyFont="1"/>
    <xf numFmtId="0" fontId="56" fillId="0" borderId="0" xfId="6" applyFont="1" applyFill="1"/>
    <xf numFmtId="0" fontId="35" fillId="0" borderId="0" xfId="6" applyFill="1"/>
    <xf numFmtId="0" fontId="4" fillId="0" borderId="0" xfId="6" applyFont="1"/>
    <xf numFmtId="0" fontId="7" fillId="0" borderId="0" xfId="6" applyFont="1"/>
    <xf numFmtId="0" fontId="10" fillId="2" borderId="0" xfId="8" applyFont="1" applyFill="1"/>
    <xf numFmtId="0" fontId="12" fillId="2" borderId="0" xfId="8" applyFont="1" applyFill="1" applyBorder="1"/>
    <xf numFmtId="0" fontId="6" fillId="2" borderId="2" xfId="8" applyFont="1" applyFill="1" applyBorder="1"/>
    <xf numFmtId="0" fontId="16" fillId="2" borderId="2" xfId="8" applyFont="1" applyFill="1" applyBorder="1"/>
    <xf numFmtId="0" fontId="30" fillId="2" borderId="0" xfId="8" applyFont="1" applyFill="1" applyAlignment="1">
      <alignment horizontal="center"/>
    </xf>
    <xf numFmtId="0" fontId="17" fillId="0" borderId="0" xfId="8" applyFont="1"/>
    <xf numFmtId="0" fontId="30" fillId="0" borderId="0" xfId="8" applyFont="1" applyFill="1"/>
    <xf numFmtId="0" fontId="17" fillId="0" borderId="18" xfId="8" applyFont="1" applyFill="1" applyBorder="1"/>
    <xf numFmtId="0" fontId="45" fillId="0" borderId="18" xfId="0" applyFont="1" applyBorder="1"/>
    <xf numFmtId="0" fontId="17" fillId="0" borderId="18" xfId="8" applyFont="1" applyBorder="1"/>
    <xf numFmtId="0" fontId="17" fillId="0" borderId="0" xfId="8" applyFont="1" applyFill="1" applyBorder="1"/>
    <xf numFmtId="0" fontId="17" fillId="0" borderId="0" xfId="8" applyFont="1" applyFill="1" applyAlignment="1"/>
    <xf numFmtId="0" fontId="17" fillId="0" borderId="0" xfId="8" applyFont="1" applyFill="1" applyAlignment="1">
      <alignment wrapText="1"/>
    </xf>
    <xf numFmtId="0" fontId="17" fillId="0" borderId="0" xfId="8" applyNumberFormat="1" applyFont="1" applyFill="1" applyAlignment="1"/>
    <xf numFmtId="0" fontId="5" fillId="0" borderId="0" xfId="6" applyFont="1" applyFill="1" applyAlignment="1">
      <alignment horizontal="center"/>
    </xf>
    <xf numFmtId="15" fontId="7" fillId="0" borderId="0" xfId="6" applyNumberFormat="1" applyFont="1"/>
    <xf numFmtId="0" fontId="7" fillId="0" borderId="0" xfId="6" applyFont="1" applyAlignment="1">
      <alignment horizontal="right"/>
    </xf>
    <xf numFmtId="0" fontId="5" fillId="0" borderId="0" xfId="6" applyFont="1" applyAlignment="1">
      <alignment horizontal="right"/>
    </xf>
    <xf numFmtId="0" fontId="5" fillId="0" borderId="12" xfId="6" applyFont="1" applyBorder="1" applyAlignment="1">
      <alignment horizontal="right"/>
    </xf>
    <xf numFmtId="15" fontId="5" fillId="0" borderId="0" xfId="6" applyNumberFormat="1" applyFont="1"/>
    <xf numFmtId="0" fontId="5" fillId="0" borderId="19" xfId="6" applyFont="1" applyBorder="1" applyAlignment="1">
      <alignment horizontal="right"/>
    </xf>
    <xf numFmtId="16" fontId="7" fillId="0" borderId="0" xfId="6" applyNumberFormat="1" applyFont="1"/>
    <xf numFmtId="16" fontId="5" fillId="0" borderId="0" xfId="6" applyNumberFormat="1" applyFont="1"/>
    <xf numFmtId="16" fontId="7" fillId="0" borderId="0" xfId="6" applyNumberFormat="1" applyFont="1" applyAlignment="1">
      <alignment horizontal="right"/>
    </xf>
    <xf numFmtId="0" fontId="11" fillId="0" borderId="0" xfId="6" applyFont="1" applyAlignment="1">
      <alignment horizontal="right"/>
    </xf>
    <xf numFmtId="0" fontId="7" fillId="0" borderId="19" xfId="6" applyFont="1" applyBorder="1" applyAlignment="1">
      <alignment horizontal="right"/>
    </xf>
    <xf numFmtId="0" fontId="6" fillId="0" borderId="2" xfId="6" applyFont="1" applyFill="1" applyBorder="1"/>
    <xf numFmtId="0" fontId="16" fillId="0" borderId="2" xfId="6" applyFont="1" applyFill="1" applyBorder="1"/>
    <xf numFmtId="1" fontId="12" fillId="0" borderId="2" xfId="6" applyNumberFormat="1" applyFont="1" applyFill="1" applyBorder="1" applyAlignment="1">
      <alignment horizontal="right"/>
    </xf>
    <xf numFmtId="0" fontId="12" fillId="0" borderId="2" xfId="6" applyFont="1" applyFill="1" applyBorder="1"/>
    <xf numFmtId="0" fontId="16" fillId="0" borderId="0" xfId="6" applyFont="1" applyFill="1"/>
    <xf numFmtId="1" fontId="7" fillId="0" borderId="0" xfId="6" applyNumberFormat="1" applyFont="1" applyFill="1" applyBorder="1" applyAlignment="1">
      <alignment horizontal="right"/>
    </xf>
    <xf numFmtId="165" fontId="8" fillId="0" borderId="0" xfId="6" applyNumberFormat="1" applyFont="1" applyFill="1"/>
    <xf numFmtId="0" fontId="5" fillId="0" borderId="0" xfId="6" applyFont="1" applyFill="1" applyAlignment="1">
      <alignment horizontal="left" vertical="top"/>
    </xf>
    <xf numFmtId="164" fontId="5" fillId="0" borderId="20" xfId="6" applyNumberFormat="1" applyFont="1" applyFill="1" applyBorder="1" applyAlignment="1">
      <alignment horizontal="right"/>
    </xf>
    <xf numFmtId="164" fontId="5" fillId="0" borderId="20" xfId="6" applyNumberFormat="1" applyFont="1" applyFill="1" applyBorder="1"/>
    <xf numFmtId="164" fontId="5" fillId="0" borderId="20" xfId="6" applyNumberFormat="1" applyFont="1" applyFill="1" applyBorder="1" applyAlignment="1">
      <alignment horizontal="right" wrapText="1"/>
    </xf>
    <xf numFmtId="164" fontId="7" fillId="0" borderId="0" xfId="6" applyNumberFormat="1" applyFont="1" applyFill="1" applyAlignment="1">
      <alignment horizontal="center"/>
    </xf>
    <xf numFmtId="164" fontId="5" fillId="0" borderId="0" xfId="6" applyNumberFormat="1" applyFont="1" applyFill="1" applyBorder="1" applyAlignment="1">
      <alignment horizontal="center"/>
    </xf>
    <xf numFmtId="169" fontId="57" fillId="0" borderId="0" xfId="5" applyNumberFormat="1" applyFont="1" applyFill="1" applyBorder="1" applyAlignment="1">
      <alignment horizontal="right"/>
    </xf>
    <xf numFmtId="164" fontId="5" fillId="0" borderId="0" xfId="6" applyNumberFormat="1" applyFont="1" applyFill="1" applyAlignment="1">
      <alignment horizontal="center"/>
    </xf>
    <xf numFmtId="164" fontId="5" fillId="0" borderId="0" xfId="6" applyNumberFormat="1" applyFont="1" applyFill="1" applyBorder="1"/>
    <xf numFmtId="169" fontId="57" fillId="0" borderId="20" xfId="5" applyNumberFormat="1" applyFont="1" applyFill="1" applyBorder="1" applyAlignment="1">
      <alignment horizontal="right"/>
    </xf>
    <xf numFmtId="164" fontId="49" fillId="0" borderId="0" xfId="6" applyNumberFormat="1" applyFont="1" applyFill="1" applyAlignment="1">
      <alignment horizontal="left"/>
    </xf>
    <xf numFmtId="169" fontId="57" fillId="0" borderId="12" xfId="5" applyNumberFormat="1" applyFont="1" applyFill="1" applyBorder="1" applyAlignment="1">
      <alignment horizontal="right"/>
    </xf>
    <xf numFmtId="169" fontId="57" fillId="0" borderId="5" xfId="5" applyNumberFormat="1" applyFont="1" applyFill="1" applyBorder="1" applyAlignment="1">
      <alignment horizontal="right"/>
    </xf>
    <xf numFmtId="1" fontId="7" fillId="0" borderId="0" xfId="6" applyNumberFormat="1" applyFont="1" applyFill="1" applyAlignment="1">
      <alignment horizontal="right"/>
    </xf>
    <xf numFmtId="0" fontId="4" fillId="0" borderId="0" xfId="6" applyFont="1" applyFill="1" applyAlignment="1">
      <alignment horizontal="center"/>
    </xf>
    <xf numFmtId="0" fontId="11" fillId="0" borderId="0" xfId="6" applyFont="1" applyFill="1"/>
    <xf numFmtId="1" fontId="11" fillId="0" borderId="0" xfId="6" applyNumberFormat="1" applyFont="1" applyFill="1" applyAlignment="1">
      <alignment horizontal="right"/>
    </xf>
    <xf numFmtId="0" fontId="6" fillId="0" borderId="0" xfId="6" applyFont="1" applyFill="1" applyBorder="1"/>
    <xf numFmtId="0" fontId="16" fillId="0" borderId="0" xfId="6" applyFont="1" applyFill="1" applyBorder="1"/>
    <xf numFmtId="164" fontId="5" fillId="0" borderId="0" xfId="6" applyNumberFormat="1" applyFont="1" applyFill="1" applyBorder="1" applyAlignment="1">
      <alignment horizontal="right" wrapText="1"/>
    </xf>
    <xf numFmtId="164" fontId="7" fillId="0" borderId="20" xfId="6" applyNumberFormat="1" applyFont="1" applyFill="1" applyBorder="1"/>
    <xf numFmtId="164" fontId="4" fillId="0" borderId="0" xfId="6" applyNumberFormat="1" applyFont="1" applyFill="1"/>
    <xf numFmtId="164" fontId="11" fillId="0" borderId="0" xfId="6" applyNumberFormat="1" applyFont="1" applyFill="1"/>
    <xf numFmtId="164" fontId="7" fillId="0" borderId="12" xfId="6" applyNumberFormat="1" applyFont="1" applyFill="1" applyBorder="1"/>
    <xf numFmtId="164" fontId="6" fillId="0" borderId="0" xfId="6" applyNumberFormat="1" applyFont="1" applyFill="1"/>
    <xf numFmtId="169" fontId="58" fillId="0" borderId="0" xfId="5" applyNumberFormat="1" applyFont="1" applyFill="1" applyBorder="1" applyAlignment="1">
      <alignment horizontal="right"/>
    </xf>
    <xf numFmtId="164" fontId="59" fillId="0" borderId="0" xfId="6" applyNumberFormat="1" applyFont="1" applyFill="1"/>
    <xf numFmtId="164" fontId="5" fillId="0" borderId="0" xfId="6" quotePrefix="1" applyNumberFormat="1" applyFont="1" applyFill="1" applyAlignment="1">
      <alignment horizontal="right"/>
    </xf>
    <xf numFmtId="164" fontId="5" fillId="0" borderId="15" xfId="6" applyNumberFormat="1" applyFont="1" applyFill="1" applyBorder="1"/>
    <xf numFmtId="164" fontId="7" fillId="0" borderId="15" xfId="6" applyNumberFormat="1" applyFont="1" applyFill="1" applyBorder="1"/>
    <xf numFmtId="164" fontId="7" fillId="0" borderId="0" xfId="6" applyNumberFormat="1" applyFont="1" applyFill="1" applyAlignment="1"/>
    <xf numFmtId="164" fontId="51" fillId="0" borderId="0" xfId="6" applyNumberFormat="1" applyFont="1" applyFill="1" applyAlignment="1">
      <alignment horizontal="center"/>
    </xf>
    <xf numFmtId="164" fontId="5" fillId="0" borderId="0" xfId="6" applyNumberFormat="1" applyFont="1" applyFill="1" applyAlignment="1">
      <alignment horizontal="right" wrapText="1"/>
    </xf>
    <xf numFmtId="164" fontId="5" fillId="0" borderId="0" xfId="6" applyNumberFormat="1" applyFont="1" applyFill="1" applyAlignment="1">
      <alignment horizontal="center"/>
    </xf>
    <xf numFmtId="164" fontId="5" fillId="0" borderId="21" xfId="6" applyNumberFormat="1" applyFont="1" applyFill="1" applyBorder="1"/>
    <xf numFmtId="164" fontId="4" fillId="0" borderId="2" xfId="6" applyNumberFormat="1" applyFont="1" applyFill="1" applyBorder="1"/>
    <xf numFmtId="164" fontId="11" fillId="0" borderId="2" xfId="6" applyNumberFormat="1" applyFont="1" applyFill="1" applyBorder="1"/>
    <xf numFmtId="164" fontId="12" fillId="0" borderId="0" xfId="6" applyNumberFormat="1" applyFont="1" applyFill="1"/>
    <xf numFmtId="164" fontId="10" fillId="0" borderId="0" xfId="6" applyNumberFormat="1" applyFont="1" applyFill="1"/>
    <xf numFmtId="164" fontId="4" fillId="0" borderId="0" xfId="6" applyNumberFormat="1" applyFont="1" applyFill="1" applyAlignment="1">
      <alignment horizontal="right"/>
    </xf>
    <xf numFmtId="164" fontId="9" fillId="0" borderId="0" xfId="6" applyNumberFormat="1" applyFont="1" applyFill="1"/>
    <xf numFmtId="164" fontId="6" fillId="0" borderId="0" xfId="6" applyNumberFormat="1" applyFont="1" applyFill="1" applyAlignment="1">
      <alignment horizontal="right"/>
    </xf>
    <xf numFmtId="164" fontId="9" fillId="0" borderId="0" xfId="6" applyNumberFormat="1" applyFont="1" applyFill="1" applyAlignment="1">
      <alignment horizontal="right"/>
    </xf>
    <xf numFmtId="164" fontId="6" fillId="0" borderId="0" xfId="6" applyNumberFormat="1" applyFont="1" applyFill="1" applyAlignment="1">
      <alignment horizontal="left"/>
    </xf>
    <xf numFmtId="164" fontId="8" fillId="0" borderId="0" xfId="6" applyNumberFormat="1" applyFont="1" applyFill="1" applyBorder="1"/>
    <xf numFmtId="164" fontId="15" fillId="0" borderId="0" xfId="6" applyNumberFormat="1" applyFont="1" applyFill="1" applyBorder="1"/>
    <xf numFmtId="164" fontId="5" fillId="0" borderId="17" xfId="6" applyNumberFormat="1" applyFont="1" applyFill="1" applyBorder="1"/>
    <xf numFmtId="164" fontId="7" fillId="0" borderId="17" xfId="6" applyNumberFormat="1" applyFont="1" applyFill="1" applyBorder="1"/>
    <xf numFmtId="164" fontId="5" fillId="0" borderId="0" xfId="6" applyNumberFormat="1" applyFont="1" applyFill="1" applyBorder="1" applyAlignment="1">
      <alignment horizontal="left"/>
    </xf>
    <xf numFmtId="164" fontId="7" fillId="0" borderId="0" xfId="6" applyNumberFormat="1" applyFont="1" applyFill="1" applyBorder="1" applyAlignment="1">
      <alignment horizontal="left"/>
    </xf>
    <xf numFmtId="164" fontId="5" fillId="0" borderId="19" xfId="6" applyNumberFormat="1" applyFont="1" applyFill="1" applyBorder="1"/>
    <xf numFmtId="164" fontId="7" fillId="0" borderId="19" xfId="6" applyNumberFormat="1" applyFont="1" applyFill="1" applyBorder="1"/>
    <xf numFmtId="164" fontId="28" fillId="0" borderId="0" xfId="6" applyNumberFormat="1" applyFont="1" applyFill="1" applyAlignment="1">
      <alignment horizontal="left"/>
    </xf>
    <xf numFmtId="164" fontId="5" fillId="0" borderId="20" xfId="6" applyNumberFormat="1" applyFont="1" applyFill="1" applyBorder="1" applyAlignment="1">
      <alignment horizontal="center"/>
    </xf>
    <xf numFmtId="164" fontId="5" fillId="0" borderId="18" xfId="6" applyNumberFormat="1" applyFont="1" applyFill="1" applyBorder="1"/>
    <xf numFmtId="164" fontId="7" fillId="0" borderId="18" xfId="6" applyNumberFormat="1" applyFont="1" applyFill="1" applyBorder="1"/>
    <xf numFmtId="164" fontId="54" fillId="0" borderId="0" xfId="6" applyNumberFormat="1" applyFont="1" applyFill="1"/>
    <xf numFmtId="164" fontId="5" fillId="0" borderId="2" xfId="6" applyNumberFormat="1" applyFont="1" applyFill="1" applyBorder="1" applyAlignment="1">
      <alignment horizontal="right"/>
    </xf>
    <xf numFmtId="165" fontId="6" fillId="0" borderId="0" xfId="6" applyNumberFormat="1" applyFont="1" applyFill="1" applyAlignment="1">
      <alignment horizontal="left"/>
    </xf>
    <xf numFmtId="0" fontId="9" fillId="0" borderId="0" xfId="6" applyFont="1" applyFill="1"/>
    <xf numFmtId="0" fontId="6" fillId="0" borderId="0" xfId="6" applyFont="1" applyFill="1" applyAlignment="1">
      <alignment horizontal="right"/>
    </xf>
    <xf numFmtId="165" fontId="6" fillId="0" borderId="0" xfId="6" applyNumberFormat="1" applyFont="1" applyFill="1"/>
    <xf numFmtId="165" fontId="9" fillId="0" borderId="0" xfId="6" applyNumberFormat="1" applyFont="1" applyFill="1"/>
    <xf numFmtId="165" fontId="6" fillId="0" borderId="0" xfId="6" applyNumberFormat="1" applyFont="1" applyFill="1" applyAlignment="1">
      <alignment horizontal="right"/>
    </xf>
    <xf numFmtId="0" fontId="48" fillId="0" borderId="0" xfId="6" applyFont="1" applyFill="1" applyAlignment="1">
      <alignment horizontal="right"/>
    </xf>
    <xf numFmtId="165" fontId="48" fillId="0" borderId="0" xfId="6" applyNumberFormat="1" applyFont="1" applyFill="1"/>
    <xf numFmtId="165" fontId="5" fillId="0" borderId="17" xfId="6" applyNumberFormat="1" applyFont="1" applyFill="1" applyBorder="1"/>
    <xf numFmtId="165" fontId="7" fillId="0" borderId="17" xfId="6" applyNumberFormat="1" applyFont="1" applyFill="1" applyBorder="1"/>
    <xf numFmtId="165" fontId="5" fillId="0" borderId="18" xfId="6" applyNumberFormat="1" applyFont="1" applyFill="1" applyBorder="1"/>
    <xf numFmtId="165" fontId="7" fillId="0" borderId="18" xfId="6" applyNumberFormat="1" applyFont="1" applyFill="1" applyBorder="1"/>
    <xf numFmtId="165" fontId="7" fillId="0" borderId="0" xfId="6" applyNumberFormat="1" applyFont="1" applyFill="1" applyAlignment="1">
      <alignment horizontal="left"/>
    </xf>
    <xf numFmtId="0" fontId="4" fillId="0" borderId="0" xfId="6" applyFont="1" applyFill="1" applyBorder="1"/>
    <xf numFmtId="0" fontId="5" fillId="0" borderId="0" xfId="6" applyFont="1" applyFill="1" applyBorder="1" applyAlignment="1">
      <alignment horizontal="right"/>
    </xf>
    <xf numFmtId="0" fontId="18" fillId="0" borderId="0" xfId="6" applyFont="1" applyFill="1"/>
    <xf numFmtId="171" fontId="5" fillId="0" borderId="0" xfId="6" applyNumberFormat="1" applyFont="1" applyFill="1" applyBorder="1"/>
    <xf numFmtId="171" fontId="7" fillId="0" borderId="0" xfId="6" applyNumberFormat="1" applyFont="1" applyFill="1" applyBorder="1"/>
    <xf numFmtId="0" fontId="6" fillId="0" borderId="0" xfId="6" applyFont="1" applyFill="1" applyBorder="1" applyAlignment="1">
      <alignment horizontal="right"/>
    </xf>
    <xf numFmtId="165" fontId="7" fillId="0" borderId="0" xfId="6" applyNumberFormat="1" applyFont="1" applyFill="1" applyBorder="1" applyAlignment="1"/>
    <xf numFmtId="165" fontId="7" fillId="0" borderId="22" xfId="6" applyNumberFormat="1" applyFont="1" applyFill="1" applyBorder="1" applyAlignment="1"/>
    <xf numFmtId="165" fontId="5" fillId="0" borderId="0" xfId="6" applyNumberFormat="1" applyFont="1" applyFill="1" applyAlignment="1"/>
    <xf numFmtId="165" fontId="7" fillId="0" borderId="0" xfId="6" applyNumberFormat="1" applyFont="1" applyFill="1" applyAlignment="1"/>
    <xf numFmtId="165" fontId="7" fillId="0" borderId="0" xfId="6" applyNumberFormat="1" applyFont="1" applyFill="1" applyBorder="1" applyAlignment="1">
      <alignment horizontal="left"/>
    </xf>
    <xf numFmtId="0" fontId="5" fillId="0" borderId="0" xfId="6" applyFont="1" applyFill="1" applyBorder="1" applyAlignment="1">
      <alignment horizontal="right" wrapText="1"/>
    </xf>
    <xf numFmtId="0" fontId="12" fillId="0" borderId="0" xfId="6" applyFont="1" applyFill="1"/>
    <xf numFmtId="3" fontId="5" fillId="0" borderId="0" xfId="6" applyNumberFormat="1" applyFont="1" applyFill="1" applyBorder="1"/>
    <xf numFmtId="0" fontId="7" fillId="0" borderId="0" xfId="6" applyFont="1" applyFill="1" applyBorder="1" applyAlignment="1">
      <alignment horizontal="right"/>
    </xf>
    <xf numFmtId="0" fontId="16" fillId="0" borderId="0" xfId="6" applyFont="1" applyFill="1" applyBorder="1" applyAlignment="1">
      <alignment horizontal="right"/>
    </xf>
    <xf numFmtId="0" fontId="21" fillId="0" borderId="0" xfId="6" applyFont="1" applyFill="1"/>
    <xf numFmtId="0" fontId="21" fillId="0" borderId="0" xfId="6" applyFont="1" applyFill="1" applyBorder="1"/>
    <xf numFmtId="0" fontId="10" fillId="0" borderId="0" xfId="6" applyFont="1" applyFill="1" applyBorder="1"/>
    <xf numFmtId="164" fontId="28" fillId="5" borderId="0" xfId="6" applyNumberFormat="1" applyFont="1" applyFill="1" applyBorder="1" applyAlignment="1">
      <alignment horizontal="left"/>
    </xf>
    <xf numFmtId="0" fontId="60" fillId="0" borderId="0" xfId="6" applyFont="1" applyFill="1"/>
    <xf numFmtId="164" fontId="7" fillId="0" borderId="0" xfId="6" applyNumberFormat="1" applyFont="1" applyFill="1" applyAlignment="1">
      <alignment horizontal="left" wrapText="1"/>
    </xf>
    <xf numFmtId="164" fontId="17" fillId="0" borderId="0" xfId="4" applyNumberFormat="1" applyFont="1" applyFill="1" applyAlignment="1">
      <alignment horizontal="right"/>
    </xf>
    <xf numFmtId="164" fontId="32" fillId="0" borderId="0" xfId="5" applyNumberFormat="1" applyFont="1" applyFill="1" applyBorder="1" applyAlignment="1">
      <alignment horizontal="right"/>
    </xf>
    <xf numFmtId="0" fontId="0" fillId="0" borderId="0" xfId="0" applyBorder="1"/>
    <xf numFmtId="169" fontId="32" fillId="0" borderId="19" xfId="5" applyNumberFormat="1" applyFont="1" applyFill="1" applyBorder="1" applyAlignment="1">
      <alignment horizontal="right"/>
    </xf>
    <xf numFmtId="169" fontId="32" fillId="0" borderId="12" xfId="5" applyNumberFormat="1" applyFont="1" applyFill="1" applyBorder="1" applyAlignment="1">
      <alignment horizontal="right"/>
    </xf>
    <xf numFmtId="169" fontId="61" fillId="0" borderId="0" xfId="5" applyNumberFormat="1" applyFont="1" applyFill="1" applyBorder="1" applyAlignment="1">
      <alignment horizontal="right"/>
    </xf>
    <xf numFmtId="171" fontId="30" fillId="0" borderId="0" xfId="4" applyNumberFormat="1" applyFont="1" applyFill="1" applyBorder="1"/>
    <xf numFmtId="37" fontId="30" fillId="0" borderId="0" xfId="2" applyNumberFormat="1" applyFont="1" applyFill="1" applyBorder="1" applyAlignment="1">
      <alignment horizontal="right"/>
    </xf>
    <xf numFmtId="37" fontId="17" fillId="0" borderId="0" xfId="2" applyNumberFormat="1" applyFont="1" applyFill="1" applyBorder="1" applyAlignment="1">
      <alignment horizontal="right"/>
    </xf>
    <xf numFmtId="164" fontId="7" fillId="0" borderId="0" xfId="4" applyNumberFormat="1" applyFont="1" applyFill="1" applyBorder="1" applyAlignment="1">
      <alignment horizontal="right"/>
    </xf>
    <xf numFmtId="164" fontId="7" fillId="0" borderId="0" xfId="4" applyNumberFormat="1" applyFont="1" applyFill="1" applyBorder="1" applyAlignment="1"/>
    <xf numFmtId="164" fontId="5" fillId="0" borderId="0" xfId="4" applyNumberFormat="1" applyFont="1" applyFill="1" applyBorder="1" applyAlignment="1"/>
    <xf numFmtId="164" fontId="45" fillId="0" borderId="0" xfId="0" applyNumberFormat="1" applyFont="1"/>
    <xf numFmtId="164" fontId="45" fillId="0" borderId="20" xfId="0" applyNumberFormat="1" applyFont="1" applyBorder="1"/>
    <xf numFmtId="164" fontId="45" fillId="0" borderId="19" xfId="0" applyNumberFormat="1" applyFont="1" applyBorder="1"/>
    <xf numFmtId="0" fontId="45" fillId="0" borderId="20" xfId="0" applyFont="1" applyBorder="1"/>
    <xf numFmtId="164" fontId="62" fillId="0" borderId="0" xfId="0" applyNumberFormat="1" applyFont="1"/>
    <xf numFmtId="164" fontId="62" fillId="0" borderId="12" xfId="0" applyNumberFormat="1" applyFont="1" applyBorder="1"/>
    <xf numFmtId="0" fontId="62" fillId="0" borderId="0" xfId="0" applyFont="1"/>
    <xf numFmtId="0" fontId="45" fillId="0" borderId="0" xfId="0" applyFont="1" applyBorder="1"/>
    <xf numFmtId="164" fontId="62" fillId="0" borderId="19" xfId="0" applyNumberFormat="1" applyFont="1" applyBorder="1"/>
    <xf numFmtId="164" fontId="62" fillId="0" borderId="0" xfId="0" applyNumberFormat="1" applyFont="1" applyBorder="1"/>
    <xf numFmtId="3" fontId="30" fillId="2" borderId="3" xfId="4" applyNumberFormat="1" applyFont="1" applyFill="1" applyBorder="1" applyAlignment="1">
      <alignment vertical="top"/>
    </xf>
    <xf numFmtId="3" fontId="17" fillId="2" borderId="3" xfId="4" applyNumberFormat="1" applyFont="1" applyFill="1" applyBorder="1" applyAlignment="1">
      <alignment vertical="top"/>
    </xf>
    <xf numFmtId="164" fontId="30" fillId="2" borderId="0" xfId="4" applyNumberFormat="1" applyFont="1" applyFill="1" applyBorder="1" applyAlignment="1">
      <alignment horizontal="right" wrapText="1"/>
    </xf>
    <xf numFmtId="164" fontId="30" fillId="2" borderId="0" xfId="2" applyNumberFormat="1" applyFont="1" applyFill="1" applyBorder="1" applyAlignment="1">
      <alignment horizontal="right"/>
    </xf>
    <xf numFmtId="170" fontId="30" fillId="4" borderId="0" xfId="1" applyNumberFormat="1" applyFont="1" applyFill="1" applyBorder="1" applyAlignment="1" applyProtection="1"/>
    <xf numFmtId="164" fontId="17" fillId="2" borderId="0" xfId="2" applyNumberFormat="1" applyFont="1" applyFill="1" applyBorder="1" applyAlignment="1">
      <alignment horizontal="left" vertical="top" wrapText="1"/>
    </xf>
    <xf numFmtId="164" fontId="17" fillId="0" borderId="0" xfId="2" applyNumberFormat="1" applyFont="1" applyFill="1" applyBorder="1" applyAlignment="1">
      <alignment horizontal="left" vertical="top" wrapText="1"/>
    </xf>
    <xf numFmtId="0" fontId="0" fillId="0" borderId="0" xfId="0" applyFill="1" applyBorder="1"/>
    <xf numFmtId="164" fontId="17" fillId="0" borderId="0" xfId="2" applyNumberFormat="1" applyFont="1" applyFill="1" applyBorder="1"/>
    <xf numFmtId="164" fontId="17" fillId="2" borderId="0" xfId="2" applyNumberFormat="1" applyFont="1" applyFill="1" applyBorder="1" applyAlignment="1">
      <alignment horizontal="right" vertical="top" wrapText="1"/>
    </xf>
    <xf numFmtId="164" fontId="30" fillId="2" borderId="0" xfId="2" quotePrefix="1" applyNumberFormat="1" applyFont="1" applyFill="1" applyBorder="1" applyAlignment="1">
      <alignment horizontal="right"/>
    </xf>
    <xf numFmtId="169" fontId="27" fillId="0" borderId="5" xfId="5" applyNumberFormat="1" applyFont="1" applyFill="1" applyBorder="1" applyAlignment="1">
      <alignment horizontal="right"/>
    </xf>
    <xf numFmtId="169" fontId="57" fillId="0" borderId="23" xfId="5" applyNumberFormat="1" applyFont="1" applyFill="1" applyBorder="1" applyAlignment="1">
      <alignment horizontal="right"/>
    </xf>
    <xf numFmtId="169" fontId="57" fillId="0" borderId="24" xfId="5" applyNumberFormat="1" applyFont="1" applyFill="1" applyBorder="1" applyAlignment="1">
      <alignment horizontal="right"/>
    </xf>
    <xf numFmtId="164" fontId="7" fillId="0" borderId="24" xfId="6" applyNumberFormat="1" applyFont="1" applyFill="1" applyBorder="1"/>
    <xf numFmtId="0" fontId="35" fillId="0" borderId="0" xfId="6" applyBorder="1"/>
    <xf numFmtId="3" fontId="4" fillId="0" borderId="0" xfId="2" applyNumberFormat="1" applyFont="1" applyFill="1" applyBorder="1"/>
    <xf numFmtId="3" fontId="5" fillId="0" borderId="0" xfId="2" applyNumberFormat="1" applyFont="1" applyFill="1" applyBorder="1"/>
    <xf numFmtId="0" fontId="11" fillId="2" borderId="0" xfId="2" applyFont="1" applyFill="1"/>
    <xf numFmtId="0" fontId="63" fillId="0" borderId="0" xfId="0" applyFont="1"/>
    <xf numFmtId="0" fontId="4" fillId="2" borderId="0" xfId="2" applyFont="1" applyFill="1"/>
    <xf numFmtId="0" fontId="4" fillId="2" borderId="0" xfId="2" applyFont="1" applyFill="1" applyAlignment="1"/>
    <xf numFmtId="43" fontId="4" fillId="2" borderId="0" xfId="3" quotePrefix="1" applyFont="1" applyFill="1" applyAlignment="1">
      <alignment horizontal="right"/>
    </xf>
    <xf numFmtId="43" fontId="4" fillId="2" borderId="0" xfId="3" applyFont="1" applyFill="1" applyAlignment="1">
      <alignment horizontal="right"/>
    </xf>
    <xf numFmtId="164" fontId="4" fillId="2" borderId="0" xfId="2" applyNumberFormat="1" applyFont="1" applyFill="1"/>
    <xf numFmtId="0" fontId="4" fillId="2" borderId="0" xfId="2" applyFont="1" applyFill="1" applyBorder="1"/>
    <xf numFmtId="168" fontId="4" fillId="4" borderId="0" xfId="0" applyNumberFormat="1" applyFont="1" applyFill="1" applyBorder="1" applyAlignment="1" applyProtection="1"/>
    <xf numFmtId="164" fontId="4" fillId="4" borderId="0" xfId="0" applyNumberFormat="1" applyFont="1" applyFill="1" applyBorder="1" applyAlignment="1" applyProtection="1"/>
    <xf numFmtId="168" fontId="4" fillId="4" borderId="14" xfId="0" applyNumberFormat="1" applyFont="1" applyFill="1" applyBorder="1" applyAlignment="1" applyProtection="1"/>
    <xf numFmtId="168" fontId="4" fillId="4" borderId="20" xfId="0" applyNumberFormat="1" applyFont="1" applyFill="1" applyBorder="1" applyAlignment="1" applyProtection="1"/>
    <xf numFmtId="0" fontId="4" fillId="2" borderId="0" xfId="2" applyFont="1" applyFill="1" applyBorder="1" applyAlignment="1">
      <alignment horizontal="left"/>
    </xf>
    <xf numFmtId="0" fontId="2" fillId="0" borderId="0" xfId="0" applyFont="1" applyBorder="1"/>
    <xf numFmtId="37" fontId="17" fillId="2" borderId="0" xfId="4" applyNumberFormat="1" applyFont="1" applyFill="1"/>
    <xf numFmtId="164" fontId="7" fillId="2" borderId="0" xfId="4" applyNumberFormat="1" applyFont="1" applyFill="1" applyBorder="1" applyAlignment="1">
      <alignment horizontal="center"/>
    </xf>
    <xf numFmtId="164" fontId="7" fillId="2" borderId="0" xfId="4" applyNumberFormat="1" applyFont="1" applyFill="1" applyAlignment="1">
      <alignment horizontal="center"/>
    </xf>
    <xf numFmtId="164" fontId="5" fillId="2" borderId="0" xfId="4" applyNumberFormat="1" applyFont="1" applyFill="1" applyAlignment="1">
      <alignment horizontal="left" vertical="top" wrapText="1"/>
    </xf>
    <xf numFmtId="164" fontId="7" fillId="0" borderId="25" xfId="6" applyNumberFormat="1" applyFont="1" applyFill="1" applyBorder="1"/>
    <xf numFmtId="164" fontId="5" fillId="0" borderId="25" xfId="6" applyNumberFormat="1" applyFont="1" applyFill="1" applyBorder="1"/>
    <xf numFmtId="0" fontId="56" fillId="0" borderId="0" xfId="2" applyFont="1"/>
    <xf numFmtId="0" fontId="4" fillId="2" borderId="0" xfId="4" applyFont="1" applyFill="1"/>
    <xf numFmtId="0" fontId="0" fillId="0" borderId="0" xfId="0" applyFont="1"/>
    <xf numFmtId="0" fontId="4" fillId="2" borderId="0" xfId="4" applyFont="1" applyFill="1" applyAlignment="1">
      <alignment horizontal="right" vertical="top" wrapText="1"/>
    </xf>
    <xf numFmtId="0" fontId="4" fillId="2" borderId="0" xfId="4" applyFont="1" applyFill="1" applyAlignment="1">
      <alignment horizontal="right"/>
    </xf>
    <xf numFmtId="164" fontId="5" fillId="2" borderId="3" xfId="4" applyNumberFormat="1" applyFont="1" applyFill="1" applyBorder="1"/>
    <xf numFmtId="164" fontId="7" fillId="2" borderId="20" xfId="4" applyNumberFormat="1" applyFont="1" applyFill="1" applyBorder="1" applyAlignment="1">
      <alignment horizontal="right"/>
    </xf>
    <xf numFmtId="164" fontId="5" fillId="2" borderId="20" xfId="4" applyNumberFormat="1" applyFont="1" applyFill="1" applyBorder="1" applyAlignment="1">
      <alignment horizontal="right"/>
    </xf>
    <xf numFmtId="164" fontId="7" fillId="2" borderId="0" xfId="4" applyNumberFormat="1" applyFont="1" applyFill="1" applyAlignment="1">
      <alignment horizontal="left" indent="1"/>
    </xf>
    <xf numFmtId="164" fontId="7" fillId="2" borderId="26" xfId="4" applyNumberFormat="1" applyFont="1" applyFill="1" applyBorder="1" applyAlignment="1"/>
    <xf numFmtId="164" fontId="7" fillId="2" borderId="17" xfId="4" applyNumberFormat="1" applyFont="1" applyFill="1" applyBorder="1" applyAlignment="1"/>
    <xf numFmtId="164" fontId="5" fillId="2" borderId="17" xfId="4" applyNumberFormat="1" applyFont="1" applyFill="1" applyBorder="1" applyAlignment="1"/>
    <xf numFmtId="164" fontId="5" fillId="2" borderId="20" xfId="4" applyNumberFormat="1" applyFont="1" applyFill="1" applyBorder="1" applyAlignment="1">
      <alignment horizontal="right" wrapText="1"/>
    </xf>
    <xf numFmtId="164" fontId="5" fillId="2" borderId="17" xfId="4" applyNumberFormat="1" applyFont="1" applyFill="1" applyBorder="1" applyAlignment="1">
      <alignment horizontal="right" vertical="top" wrapText="1"/>
    </xf>
    <xf numFmtId="164" fontId="56" fillId="2" borderId="0" xfId="4" applyNumberFormat="1" applyFont="1" applyFill="1"/>
    <xf numFmtId="164" fontId="5" fillId="0" borderId="0" xfId="6" applyNumberFormat="1" applyFont="1" applyFill="1" applyAlignment="1">
      <alignment horizontal="center"/>
    </xf>
    <xf numFmtId="3" fontId="4" fillId="2" borderId="0" xfId="4" applyNumberFormat="1" applyFont="1" applyFill="1" applyAlignment="1"/>
    <xf numFmtId="164" fontId="4" fillId="2" borderId="0" xfId="4" applyNumberFormat="1" applyFont="1" applyFill="1" applyAlignment="1"/>
    <xf numFmtId="0" fontId="65" fillId="0" borderId="0" xfId="0" applyFont="1"/>
    <xf numFmtId="0" fontId="64" fillId="0" borderId="0" xfId="0" applyFont="1"/>
    <xf numFmtId="0" fontId="66" fillId="0" borderId="0" xfId="0" applyFont="1"/>
    <xf numFmtId="37" fontId="17" fillId="2" borderId="0" xfId="4" applyNumberFormat="1" applyFont="1" applyFill="1"/>
    <xf numFmtId="0" fontId="5" fillId="0" borderId="0" xfId="6" applyFont="1" applyFill="1" applyAlignment="1">
      <alignment horizontal="center"/>
    </xf>
    <xf numFmtId="169" fontId="55" fillId="0" borderId="0" xfId="5" applyNumberFormat="1" applyFont="1" applyFill="1" applyBorder="1" applyAlignment="1">
      <alignment horizontal="right"/>
    </xf>
    <xf numFmtId="0" fontId="16" fillId="0" borderId="27" xfId="6" applyFont="1" applyFill="1" applyBorder="1"/>
    <xf numFmtId="169" fontId="57" fillId="0" borderId="28" xfId="5" applyNumberFormat="1" applyFont="1" applyFill="1" applyBorder="1" applyAlignment="1">
      <alignment horizontal="right"/>
    </xf>
    <xf numFmtId="169" fontId="57" fillId="0" borderId="29" xfId="5" applyNumberFormat="1" applyFont="1" applyFill="1" applyBorder="1" applyAlignment="1">
      <alignment horizontal="right"/>
    </xf>
    <xf numFmtId="164" fontId="7" fillId="0" borderId="0" xfId="0" applyNumberFormat="1" applyFont="1" applyFill="1" applyBorder="1"/>
    <xf numFmtId="164" fontId="57" fillId="0" borderId="0" xfId="5" applyNumberFormat="1" applyFont="1" applyFill="1" applyBorder="1" applyAlignment="1">
      <alignment horizontal="right"/>
    </xf>
    <xf numFmtId="164" fontId="5" fillId="0" borderId="0" xfId="0" applyNumberFormat="1" applyFont="1" applyFill="1" applyBorder="1"/>
    <xf numFmtId="164" fontId="7" fillId="0" borderId="0" xfId="6" applyNumberFormat="1" applyFont="1" applyFill="1" applyAlignment="1">
      <alignment horizontal="right" wrapText="1"/>
    </xf>
    <xf numFmtId="0" fontId="10" fillId="0" borderId="0" xfId="6" applyFont="1" applyFill="1" applyAlignment="1">
      <alignment horizontal="right"/>
    </xf>
    <xf numFmtId="0" fontId="12" fillId="0" borderId="0" xfId="6" applyFont="1" applyFill="1" applyBorder="1" applyAlignment="1">
      <alignment horizontal="right"/>
    </xf>
    <xf numFmtId="0" fontId="12" fillId="0" borderId="2" xfId="6" applyFont="1" applyFill="1" applyBorder="1" applyAlignment="1">
      <alignment horizontal="right"/>
    </xf>
    <xf numFmtId="164" fontId="7" fillId="0" borderId="20" xfId="6" applyNumberFormat="1" applyFont="1" applyFill="1" applyBorder="1" applyAlignment="1">
      <alignment horizontal="right"/>
    </xf>
    <xf numFmtId="0" fontId="7" fillId="0" borderId="0" xfId="6" applyFont="1" applyFill="1" applyAlignment="1">
      <alignment horizontal="right"/>
    </xf>
    <xf numFmtId="0" fontId="16" fillId="0" borderId="2" xfId="6" applyFont="1" applyFill="1" applyBorder="1" applyAlignment="1">
      <alignment horizontal="right"/>
    </xf>
    <xf numFmtId="0" fontId="21" fillId="0" borderId="0" xfId="6" applyFont="1" applyFill="1" applyAlignment="1">
      <alignment horizontal="right"/>
    </xf>
    <xf numFmtId="0" fontId="21" fillId="0" borderId="0" xfId="6" applyFont="1" applyFill="1" applyBorder="1" applyAlignment="1">
      <alignment horizontal="right"/>
    </xf>
    <xf numFmtId="1" fontId="5" fillId="0" borderId="0" xfId="6" applyNumberFormat="1" applyFont="1" applyFill="1" applyAlignment="1">
      <alignment horizontal="right"/>
    </xf>
    <xf numFmtId="1" fontId="5" fillId="0" borderId="0" xfId="6" applyNumberFormat="1" applyFont="1" applyFill="1" applyBorder="1" applyAlignment="1">
      <alignment horizontal="right"/>
    </xf>
    <xf numFmtId="0" fontId="4" fillId="0" borderId="0" xfId="6" applyFont="1" applyAlignment="1">
      <alignment horizontal="right"/>
    </xf>
    <xf numFmtId="0" fontId="4" fillId="0" borderId="0" xfId="6" applyFont="1" applyBorder="1" applyAlignment="1">
      <alignment horizontal="right"/>
    </xf>
    <xf numFmtId="164" fontId="6" fillId="0" borderId="0" xfId="0" applyNumberFormat="1" applyFont="1" applyFill="1"/>
    <xf numFmtId="164" fontId="7" fillId="0" borderId="0" xfId="0" applyNumberFormat="1" applyFont="1" applyFill="1"/>
    <xf numFmtId="164" fontId="5" fillId="0" borderId="0" xfId="0" applyNumberFormat="1" applyFont="1" applyFill="1" applyAlignment="1">
      <alignment horizontal="right"/>
    </xf>
    <xf numFmtId="164" fontId="5" fillId="0" borderId="0" xfId="0" applyNumberFormat="1" applyFont="1" applyFill="1"/>
    <xf numFmtId="164" fontId="4" fillId="0" borderId="0" xfId="0" applyNumberFormat="1" applyFont="1" applyFill="1"/>
    <xf numFmtId="164" fontId="17" fillId="0" borderId="28" xfId="2" applyNumberFormat="1" applyFont="1" applyFill="1" applyBorder="1"/>
    <xf numFmtId="0" fontId="5" fillId="0" borderId="0" xfId="6" applyFont="1" applyFill="1" applyAlignment="1">
      <alignment horizontal="center"/>
    </xf>
    <xf numFmtId="0" fontId="34" fillId="0" borderId="0" xfId="0" applyFont="1" applyAlignment="1">
      <alignment horizontal="right"/>
    </xf>
    <xf numFmtId="165" fontId="7" fillId="0" borderId="0" xfId="6" applyNumberFormat="1" applyFont="1" applyFill="1" applyAlignment="1">
      <alignment horizontal="right"/>
    </xf>
    <xf numFmtId="169" fontId="7" fillId="0" borderId="30" xfId="6" applyNumberFormat="1" applyFont="1" applyFill="1" applyBorder="1" applyAlignment="1">
      <alignment horizontal="right"/>
    </xf>
    <xf numFmtId="0" fontId="69" fillId="0" borderId="0" xfId="6" applyFont="1" applyFill="1"/>
    <xf numFmtId="0" fontId="70" fillId="0" borderId="0" xfId="6" applyFont="1" applyFill="1"/>
    <xf numFmtId="0" fontId="6" fillId="0" borderId="27" xfId="6" applyFont="1" applyFill="1" applyBorder="1"/>
    <xf numFmtId="169" fontId="5" fillId="0" borderId="30" xfId="6" applyNumberFormat="1" applyFont="1" applyFill="1" applyBorder="1" applyAlignment="1">
      <alignment horizontal="right"/>
    </xf>
    <xf numFmtId="165" fontId="7" fillId="0" borderId="0" xfId="6" applyNumberFormat="1" applyFont="1" applyFill="1" applyAlignment="1">
      <alignment horizontal="center"/>
    </xf>
    <xf numFmtId="169" fontId="7" fillId="0" borderId="31" xfId="6" applyNumberFormat="1" applyFont="1" applyFill="1" applyBorder="1"/>
    <xf numFmtId="172" fontId="32" fillId="0" borderId="19" xfId="5" applyNumberFormat="1" applyFont="1" applyFill="1" applyBorder="1" applyAlignment="1">
      <alignment horizontal="right"/>
    </xf>
    <xf numFmtId="0" fontId="71" fillId="6" borderId="33" xfId="0" applyFont="1" applyFill="1" applyBorder="1" applyAlignment="1">
      <alignment vertical="center" wrapText="1"/>
    </xf>
    <xf numFmtId="0" fontId="71" fillId="6" borderId="34" xfId="0" applyFont="1" applyFill="1" applyBorder="1" applyAlignment="1">
      <alignment vertical="center" wrapText="1"/>
    </xf>
    <xf numFmtId="165" fontId="5" fillId="0" borderId="22" xfId="6" applyNumberFormat="1" applyFont="1" applyFill="1" applyBorder="1" applyAlignment="1"/>
    <xf numFmtId="0" fontId="72" fillId="0" borderId="0" xfId="0" applyFont="1"/>
    <xf numFmtId="164" fontId="7" fillId="0" borderId="35" xfId="6" applyNumberFormat="1" applyFont="1" applyFill="1" applyBorder="1"/>
    <xf numFmtId="164" fontId="5" fillId="0" borderId="35" xfId="6" applyNumberFormat="1" applyFont="1" applyFill="1" applyBorder="1"/>
    <xf numFmtId="167" fontId="5" fillId="0" borderId="0" xfId="6" applyNumberFormat="1" applyFont="1" applyFill="1"/>
    <xf numFmtId="164" fontId="7" fillId="0" borderId="36" xfId="6" applyNumberFormat="1" applyFont="1" applyFill="1" applyBorder="1"/>
    <xf numFmtId="0" fontId="71" fillId="6" borderId="32" xfId="0" applyFont="1" applyFill="1" applyBorder="1" applyAlignment="1">
      <alignment horizontal="left" vertical="center" wrapText="1"/>
    </xf>
    <xf numFmtId="0" fontId="71" fillId="6" borderId="33" xfId="0" applyFont="1" applyFill="1" applyBorder="1" applyAlignment="1">
      <alignment horizontal="left" vertical="center" wrapText="1"/>
    </xf>
    <xf numFmtId="164" fontId="10" fillId="0" borderId="0" xfId="6" applyNumberFormat="1" applyFont="1" applyFill="1" applyAlignment="1">
      <alignment wrapText="1"/>
    </xf>
    <xf numFmtId="0" fontId="35" fillId="0" borderId="0" xfId="6" applyAlignment="1">
      <alignment wrapText="1"/>
    </xf>
    <xf numFmtId="164" fontId="7" fillId="0" borderId="0" xfId="6" applyNumberFormat="1" applyFont="1" applyFill="1" applyBorder="1" applyAlignment="1">
      <alignment horizontal="center"/>
    </xf>
    <xf numFmtId="164" fontId="5" fillId="0" borderId="0" xfId="6" applyNumberFormat="1" applyFont="1" applyFill="1" applyAlignment="1">
      <alignment horizontal="center"/>
    </xf>
    <xf numFmtId="164" fontId="30" fillId="0" borderId="0" xfId="4" applyNumberFormat="1" applyFont="1" applyFill="1" applyBorder="1" applyAlignment="1">
      <alignment horizontal="center" wrapText="1"/>
    </xf>
    <xf numFmtId="37" fontId="30" fillId="2" borderId="0" xfId="4" applyNumberFormat="1" applyFont="1" applyFill="1" applyBorder="1" applyAlignment="1">
      <alignment horizontal="center"/>
    </xf>
    <xf numFmtId="37" fontId="17" fillId="2" borderId="0" xfId="4" applyNumberFormat="1" applyFont="1" applyFill="1" applyBorder="1" applyAlignment="1">
      <alignment horizontal="center"/>
    </xf>
    <xf numFmtId="37" fontId="17" fillId="2" borderId="0" xfId="4" applyNumberFormat="1" applyFont="1" applyFill="1"/>
    <xf numFmtId="3" fontId="30" fillId="0" borderId="0" xfId="8" applyNumberFormat="1" applyFont="1" applyFill="1" applyBorder="1" applyAlignment="1">
      <alignment horizontal="center"/>
    </xf>
    <xf numFmtId="3" fontId="30" fillId="0" borderId="0" xfId="8" applyNumberFormat="1" applyFont="1" applyFill="1" applyAlignment="1">
      <alignment horizontal="center" wrapText="1"/>
    </xf>
    <xf numFmtId="3" fontId="17" fillId="0" borderId="0" xfId="8" applyNumberFormat="1" applyFont="1" applyFill="1" applyBorder="1" applyAlignment="1">
      <alignment horizontal="center" wrapText="1"/>
    </xf>
    <xf numFmtId="3" fontId="30" fillId="2" borderId="0" xfId="4" applyNumberFormat="1" applyFont="1" applyFill="1" applyBorder="1" applyAlignment="1">
      <alignment horizontal="center"/>
    </xf>
    <xf numFmtId="3" fontId="17" fillId="2" borderId="0" xfId="4" applyNumberFormat="1" applyFont="1" applyFill="1" applyBorder="1" applyAlignment="1">
      <alignment horizontal="center"/>
    </xf>
    <xf numFmtId="164" fontId="30" fillId="0" borderId="0" xfId="4" applyNumberFormat="1" applyFont="1" applyFill="1" applyAlignment="1">
      <alignment horizontal="center" wrapText="1"/>
    </xf>
    <xf numFmtId="0" fontId="17" fillId="0" borderId="0" xfId="2" applyFont="1" applyFill="1" applyAlignment="1">
      <alignment wrapText="1"/>
    </xf>
    <xf numFmtId="0" fontId="4" fillId="0" borderId="0" xfId="2" applyFont="1" applyFill="1" applyAlignment="1">
      <alignment wrapText="1"/>
    </xf>
    <xf numFmtId="0" fontId="5" fillId="0" borderId="0" xfId="2" applyFont="1" applyAlignment="1">
      <alignment horizontal="center" wrapText="1"/>
    </xf>
    <xf numFmtId="0" fontId="5" fillId="0" borderId="0" xfId="2" applyFont="1" applyAlignment="1">
      <alignment horizontal="right" vertical="center" wrapText="1"/>
    </xf>
    <xf numFmtId="164" fontId="5" fillId="2" borderId="0" xfId="4" applyNumberFormat="1" applyFont="1" applyFill="1" applyAlignment="1">
      <alignment horizontal="justify"/>
    </xf>
    <xf numFmtId="164" fontId="7" fillId="2" borderId="0" xfId="4" applyNumberFormat="1" applyFont="1" applyFill="1" applyBorder="1" applyAlignment="1">
      <alignment horizontal="center"/>
    </xf>
    <xf numFmtId="164" fontId="5" fillId="2" borderId="0" xfId="4" applyNumberFormat="1" applyFont="1" applyFill="1" applyBorder="1" applyAlignment="1">
      <alignment horizontal="center"/>
    </xf>
    <xf numFmtId="37" fontId="5" fillId="2" borderId="0" xfId="4" applyNumberFormat="1" applyFont="1" applyFill="1" applyAlignment="1">
      <alignment horizontal="left" wrapText="1"/>
    </xf>
    <xf numFmtId="37" fontId="7" fillId="2" borderId="0" xfId="4" applyNumberFormat="1" applyFont="1" applyFill="1" applyBorder="1" applyAlignment="1">
      <alignment horizontal="center"/>
    </xf>
    <xf numFmtId="37" fontId="5" fillId="2" borderId="0" xfId="4" applyNumberFormat="1" applyFont="1" applyFill="1" applyBorder="1" applyAlignment="1">
      <alignment horizontal="center"/>
    </xf>
    <xf numFmtId="164" fontId="5" fillId="2" borderId="0" xfId="4" applyNumberFormat="1" applyFont="1" applyFill="1" applyAlignment="1">
      <alignment horizontal="left" vertical="top" wrapText="1"/>
    </xf>
    <xf numFmtId="164" fontId="56" fillId="0" borderId="0" xfId="4" applyNumberFormat="1" applyFont="1" applyFill="1" applyAlignment="1">
      <alignment horizontal="left" vertical="top" wrapText="1"/>
    </xf>
    <xf numFmtId="164" fontId="7" fillId="2" borderId="0" xfId="4" applyNumberFormat="1" applyFont="1" applyFill="1" applyBorder="1" applyAlignment="1">
      <alignment horizontal="left"/>
    </xf>
    <xf numFmtId="164" fontId="25" fillId="2" borderId="0" xfId="4" applyNumberFormat="1" applyFont="1" applyFill="1" applyAlignment="1">
      <alignment horizontal="left" vertical="top" wrapText="1"/>
    </xf>
    <xf numFmtId="37" fontId="7" fillId="0" borderId="0" xfId="6" applyNumberFormat="1" applyFont="1" applyFill="1" applyAlignment="1">
      <alignment horizontal="center"/>
    </xf>
    <xf numFmtId="37" fontId="18" fillId="0" borderId="0" xfId="6" applyNumberFormat="1" applyFont="1" applyFill="1" applyAlignment="1">
      <alignment horizontal="center"/>
    </xf>
    <xf numFmtId="37" fontId="7" fillId="0" borderId="0" xfId="6" applyNumberFormat="1" applyFont="1" applyFill="1" applyBorder="1" applyAlignment="1">
      <alignment horizontal="center"/>
    </xf>
    <xf numFmtId="37" fontId="5" fillId="0" borderId="0" xfId="6" applyNumberFormat="1" applyFont="1" applyFill="1" applyBorder="1" applyAlignment="1">
      <alignment horizontal="center"/>
    </xf>
    <xf numFmtId="37" fontId="5" fillId="0" borderId="0" xfId="6" applyNumberFormat="1" applyFont="1" applyFill="1" applyAlignment="1">
      <alignment horizontal="justify" vertical="justify" wrapText="1"/>
    </xf>
    <xf numFmtId="0" fontId="5" fillId="0" borderId="0" xfId="6" applyFont="1" applyFill="1" applyBorder="1" applyAlignment="1">
      <alignment wrapText="1"/>
    </xf>
    <xf numFmtId="0" fontId="19" fillId="0" borderId="0" xfId="6" applyFont="1" applyFill="1" applyBorder="1" applyAlignment="1">
      <alignment wrapText="1"/>
    </xf>
    <xf numFmtId="0" fontId="7" fillId="0" borderId="0" xfId="6" applyFont="1" applyFill="1" applyBorder="1" applyAlignment="1">
      <alignment vertical="center" wrapText="1"/>
    </xf>
    <xf numFmtId="0" fontId="5" fillId="0" borderId="0" xfId="6" applyFont="1" applyFill="1" applyAlignment="1">
      <alignment horizontal="left" wrapText="1"/>
    </xf>
    <xf numFmtId="0" fontId="5" fillId="0" borderId="0" xfId="6" applyFont="1" applyAlignment="1">
      <alignment horizontal="left" wrapText="1"/>
    </xf>
    <xf numFmtId="0" fontId="5" fillId="0" borderId="0" xfId="6" applyFont="1" applyFill="1" applyAlignment="1">
      <alignment wrapText="1"/>
    </xf>
    <xf numFmtId="0" fontId="7" fillId="0" borderId="0" xfId="6" applyFont="1" applyAlignment="1">
      <alignment horizontal="center"/>
    </xf>
    <xf numFmtId="0" fontId="5" fillId="0" borderId="0" xfId="6" applyFont="1" applyFill="1" applyAlignment="1">
      <alignment horizontal="center"/>
    </xf>
    <xf numFmtId="0" fontId="7" fillId="0" borderId="0" xfId="6" applyFont="1" applyFill="1" applyAlignment="1">
      <alignment horizontal="center"/>
    </xf>
    <xf numFmtId="165" fontId="7" fillId="0" borderId="0" xfId="6" applyNumberFormat="1" applyFont="1" applyFill="1" applyAlignment="1">
      <alignment horizontal="center"/>
    </xf>
    <xf numFmtId="0" fontId="7" fillId="0" borderId="0" xfId="6" applyFont="1" applyFill="1" applyAlignment="1">
      <alignment horizontal="center" vertical="center"/>
    </xf>
  </cellXfs>
  <cellStyles count="10">
    <cellStyle name="Comma" xfId="1" builtinId="3"/>
    <cellStyle name="Comma 2" xfId="3"/>
    <cellStyle name="Comma 3" xfId="7"/>
    <cellStyle name="Hyperlink" xfId="9" builtinId="8"/>
    <cellStyle name="Normal" xfId="0" builtinId="0"/>
    <cellStyle name="Normal 11 2 2" xfId="5"/>
    <cellStyle name="Normal 2" xfId="4"/>
    <cellStyle name="Normal 2 2" xfId="8"/>
    <cellStyle name="Normal 3" xfId="2"/>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0</xdr:row>
      <xdr:rowOff>161925</xdr:rowOff>
    </xdr:from>
    <xdr:to>
      <xdr:col>11</xdr:col>
      <xdr:colOff>495300</xdr:colOff>
      <xdr:row>0</xdr:row>
      <xdr:rowOff>1482778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0" y="161925"/>
          <a:ext cx="2914650" cy="13208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mailto:Imago@Loughborough"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view="pageBreakPreview" zoomScaleNormal="100" zoomScaleSheetLayoutView="100" workbookViewId="0">
      <selection activeCell="I4" sqref="I4"/>
    </sheetView>
  </sheetViews>
  <sheetFormatPr defaultRowHeight="15"/>
  <cols>
    <col min="12" max="12" width="21.5703125" customWidth="1"/>
    <col min="13" max="13" width="25.7109375" customWidth="1"/>
  </cols>
  <sheetData>
    <row r="1" spans="1:12" ht="176.25" customHeight="1" thickBot="1">
      <c r="A1" s="801" t="s">
        <v>1199</v>
      </c>
      <c r="B1" s="802"/>
      <c r="C1" s="802"/>
      <c r="D1" s="802"/>
      <c r="E1" s="802"/>
      <c r="F1" s="802"/>
      <c r="G1" s="802"/>
      <c r="H1" s="793"/>
      <c r="I1" s="793"/>
      <c r="J1" s="793"/>
      <c r="K1" s="793"/>
      <c r="L1" s="794"/>
    </row>
    <row r="4" spans="1:12" ht="23.25">
      <c r="A4" s="1" t="s">
        <v>0</v>
      </c>
    </row>
    <row r="6" spans="1:12" ht="15.75">
      <c r="A6" s="44" t="s">
        <v>1</v>
      </c>
      <c r="B6" s="44"/>
    </row>
    <row r="7" spans="1:12" ht="15.75">
      <c r="A7" s="44" t="s">
        <v>2</v>
      </c>
      <c r="B7" s="44"/>
    </row>
    <row r="8" spans="1:12" ht="15.75">
      <c r="A8" s="44" t="s">
        <v>3</v>
      </c>
      <c r="B8" s="44"/>
    </row>
    <row r="9" spans="1:12" ht="15.75">
      <c r="A9" s="44"/>
      <c r="B9" s="44"/>
    </row>
    <row r="10" spans="1:12" ht="15.75">
      <c r="A10" s="44" t="s">
        <v>4</v>
      </c>
      <c r="B10" s="44"/>
    </row>
    <row r="11" spans="1:12" ht="15.75">
      <c r="A11" s="44"/>
      <c r="B11" s="44" t="s">
        <v>5</v>
      </c>
    </row>
    <row r="12" spans="1:12" ht="15.75">
      <c r="A12" s="44"/>
      <c r="B12" s="44" t="s">
        <v>6</v>
      </c>
    </row>
    <row r="13" spans="1:12" ht="15.75">
      <c r="A13" s="44"/>
      <c r="B13" s="44" t="s">
        <v>7</v>
      </c>
    </row>
    <row r="14" spans="1:12" ht="15.75">
      <c r="A14" s="44" t="s">
        <v>8</v>
      </c>
      <c r="B14" s="44"/>
    </row>
    <row r="15" spans="1:12" ht="15.75">
      <c r="A15" s="44" t="s">
        <v>9</v>
      </c>
      <c r="B15" s="44"/>
    </row>
    <row r="16" spans="1:12" ht="15.75">
      <c r="A16" s="44"/>
      <c r="B16" s="44"/>
    </row>
    <row r="17" spans="1:2" ht="15.75">
      <c r="A17" s="44" t="s">
        <v>1193</v>
      </c>
      <c r="B17" s="44"/>
    </row>
    <row r="18" spans="1:2" ht="15.75">
      <c r="A18" s="44" t="s">
        <v>1194</v>
      </c>
      <c r="B18" s="44"/>
    </row>
    <row r="19" spans="1:2" ht="15.75">
      <c r="A19" s="44" t="s">
        <v>1195</v>
      </c>
      <c r="B19" s="44"/>
    </row>
    <row r="20" spans="1:2" ht="15.75">
      <c r="A20" s="44"/>
      <c r="B20" s="44"/>
    </row>
  </sheetData>
  <mergeCells count="1">
    <mergeCell ref="A1:G1"/>
  </mergeCells>
  <pageMargins left="0.70866141732283472" right="0.70866141732283472" top="0.74803149606299213" bottom="0.74803149606299213" header="0.31496062992125984" footer="0.31496062992125984"/>
  <pageSetup paperSize="9" scale="74" orientation="portrait" horizontalDpi="1200" verticalDpi="1200" r:id="rId1"/>
  <headerFooter>
    <oddFooter>Page &amp;P of &amp;N</oddFooter>
  </headerFooter>
  <colBreaks count="1" manualBreakCount="1">
    <brk id="12"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7"/>
  <sheetViews>
    <sheetView view="pageBreakPreview" zoomScale="60" zoomScaleNormal="100" workbookViewId="0">
      <selection activeCell="A64" sqref="A64"/>
    </sheetView>
  </sheetViews>
  <sheetFormatPr defaultRowHeight="15"/>
  <cols>
    <col min="1" max="1" width="5.5703125" customWidth="1"/>
    <col min="5" max="5" width="10.28515625" customWidth="1"/>
    <col min="7" max="7" width="13" customWidth="1"/>
    <col min="14" max="14" width="10.140625" customWidth="1"/>
  </cols>
  <sheetData>
    <row r="1" spans="1:15" ht="19.5">
      <c r="A1" s="145" t="s">
        <v>986</v>
      </c>
    </row>
    <row r="2" spans="1:15">
      <c r="A2" s="167" t="s">
        <v>129</v>
      </c>
    </row>
    <row r="3" spans="1:15" ht="15.75" thickBot="1">
      <c r="A3" s="170"/>
      <c r="B3" s="170"/>
      <c r="C3" s="170"/>
      <c r="D3" s="170"/>
      <c r="E3" s="170"/>
      <c r="F3" s="170"/>
      <c r="G3" s="170"/>
      <c r="H3" s="170"/>
      <c r="I3" s="170"/>
      <c r="J3" s="170"/>
      <c r="K3" s="170"/>
      <c r="L3" s="170"/>
      <c r="M3" s="170"/>
      <c r="N3" s="170"/>
      <c r="O3" s="170"/>
    </row>
    <row r="5" spans="1:15" ht="15.75">
      <c r="A5" s="169" t="s">
        <v>260</v>
      </c>
      <c r="B5" s="172" t="s">
        <v>276</v>
      </c>
    </row>
    <row r="6" spans="1:15" ht="15.75">
      <c r="A6" s="178"/>
      <c r="B6" s="44"/>
    </row>
    <row r="7" spans="1:15" ht="15.75">
      <c r="A7" s="178"/>
      <c r="B7" s="44" t="s">
        <v>277</v>
      </c>
    </row>
    <row r="8" spans="1:15" ht="15.75">
      <c r="A8" s="178"/>
      <c r="B8" s="44"/>
    </row>
    <row r="9" spans="1:15" ht="15.75">
      <c r="A9" s="178"/>
      <c r="B9" s="44" t="s">
        <v>1104</v>
      </c>
    </row>
    <row r="10" spans="1:15" ht="15.75">
      <c r="A10" s="178"/>
      <c r="B10" s="44" t="s">
        <v>1105</v>
      </c>
    </row>
    <row r="11" spans="1:15" ht="15.75">
      <c r="A11" s="178"/>
      <c r="B11" s="44"/>
    </row>
    <row r="12" spans="1:15" ht="15.75">
      <c r="A12" s="169" t="s">
        <v>275</v>
      </c>
      <c r="B12" s="172" t="s">
        <v>38</v>
      </c>
    </row>
    <row r="13" spans="1:15" ht="15.75">
      <c r="A13" s="176"/>
      <c r="B13" s="44"/>
    </row>
    <row r="14" spans="1:15" ht="15.75">
      <c r="A14" s="175"/>
      <c r="B14" s="44" t="s">
        <v>279</v>
      </c>
    </row>
    <row r="15" spans="1:15" ht="15.75">
      <c r="A15" s="176"/>
      <c r="B15" s="44" t="s">
        <v>280</v>
      </c>
    </row>
    <row r="16" spans="1:15" ht="15.75">
      <c r="A16" s="176"/>
      <c r="B16" s="44" t="s">
        <v>281</v>
      </c>
    </row>
    <row r="17" spans="1:2" ht="15.75">
      <c r="A17" s="176"/>
      <c r="B17" s="44" t="s">
        <v>282</v>
      </c>
    </row>
    <row r="18" spans="1:2" ht="15.75">
      <c r="A18" s="177"/>
      <c r="B18" s="44" t="s">
        <v>283</v>
      </c>
    </row>
    <row r="19" spans="1:2" ht="15.75">
      <c r="A19" s="176"/>
      <c r="B19" s="44" t="s">
        <v>284</v>
      </c>
    </row>
    <row r="20" spans="1:2" ht="15.75">
      <c r="A20" s="176"/>
      <c r="B20" s="44" t="s">
        <v>285</v>
      </c>
    </row>
    <row r="21" spans="1:2" ht="15.75">
      <c r="A21" s="176"/>
      <c r="B21" s="44"/>
    </row>
    <row r="22" spans="1:2" ht="15.75">
      <c r="A22" s="177"/>
      <c r="B22" s="44" t="s">
        <v>286</v>
      </c>
    </row>
    <row r="23" spans="1:2" ht="15.75">
      <c r="A23" s="176"/>
      <c r="B23" s="44" t="s">
        <v>287</v>
      </c>
    </row>
    <row r="24" spans="1:2" ht="15.75">
      <c r="A24" s="176"/>
      <c r="B24" s="44"/>
    </row>
    <row r="25" spans="1:2" ht="15.75">
      <c r="A25" s="176"/>
      <c r="B25" s="44" t="s">
        <v>288</v>
      </c>
    </row>
    <row r="26" spans="1:2" ht="15.75">
      <c r="A26" s="176"/>
      <c r="B26" s="174"/>
    </row>
    <row r="27" spans="1:2" ht="15.75">
      <c r="A27" s="176"/>
      <c r="B27" s="44" t="s">
        <v>289</v>
      </c>
    </row>
    <row r="28" spans="1:2" ht="15.75">
      <c r="A28" s="176"/>
      <c r="B28" s="44" t="s">
        <v>290</v>
      </c>
    </row>
    <row r="29" spans="1:2" ht="15.75">
      <c r="A29" s="176"/>
      <c r="B29" s="44" t="s">
        <v>291</v>
      </c>
    </row>
    <row r="30" spans="1:2" ht="15.75">
      <c r="A30" s="175"/>
      <c r="B30" s="44" t="s">
        <v>292</v>
      </c>
    </row>
    <row r="31" spans="1:2" ht="15.75">
      <c r="A31" s="176"/>
      <c r="B31" s="44"/>
    </row>
    <row r="32" spans="1:2" ht="15.75">
      <c r="A32" s="169" t="s">
        <v>278</v>
      </c>
      <c r="B32" s="172" t="s">
        <v>294</v>
      </c>
    </row>
    <row r="33" spans="1:2" ht="15.75">
      <c r="A33" s="176"/>
      <c r="B33" s="44" t="s">
        <v>1106</v>
      </c>
    </row>
    <row r="34" spans="1:2" ht="15.75">
      <c r="A34" s="175"/>
      <c r="B34" s="44" t="s">
        <v>1107</v>
      </c>
    </row>
    <row r="35" spans="1:2" ht="15.75">
      <c r="A35" s="176"/>
      <c r="B35" s="44" t="s">
        <v>1108</v>
      </c>
    </row>
    <row r="36" spans="1:2" ht="15.75">
      <c r="A36" s="176"/>
      <c r="B36" s="44" t="s">
        <v>1109</v>
      </c>
    </row>
    <row r="37" spans="1:2" ht="15.75">
      <c r="A37" s="176"/>
      <c r="B37" s="44"/>
    </row>
    <row r="38" spans="1:2" ht="15.75">
      <c r="A38" s="175" t="s">
        <v>293</v>
      </c>
      <c r="B38" s="172" t="s">
        <v>296</v>
      </c>
    </row>
    <row r="39" spans="1:2" ht="15.75">
      <c r="A39" s="176"/>
      <c r="B39" s="44"/>
    </row>
    <row r="40" spans="1:2" ht="15.75">
      <c r="A40" s="176"/>
      <c r="B40" s="44" t="s">
        <v>1110</v>
      </c>
    </row>
    <row r="41" spans="1:2" ht="15.75">
      <c r="A41" s="175"/>
      <c r="B41" s="44" t="s">
        <v>1112</v>
      </c>
    </row>
    <row r="42" spans="1:2" ht="15.75">
      <c r="A42" s="176"/>
      <c r="B42" s="44"/>
    </row>
    <row r="43" spans="1:2" ht="15.75">
      <c r="A43" s="175"/>
      <c r="B43" s="44" t="s">
        <v>1111</v>
      </c>
    </row>
    <row r="44" spans="1:2" ht="15.75">
      <c r="A44" s="176"/>
      <c r="B44" s="44" t="s">
        <v>297</v>
      </c>
    </row>
    <row r="45" spans="1:2" ht="15.75">
      <c r="A45" s="176"/>
      <c r="B45" s="44"/>
    </row>
    <row r="46" spans="1:2" ht="15.75">
      <c r="A46" s="175" t="s">
        <v>295</v>
      </c>
      <c r="B46" s="172" t="s">
        <v>1151</v>
      </c>
    </row>
    <row r="47" spans="1:2" ht="15.75">
      <c r="A47" s="176"/>
      <c r="B47" s="44"/>
    </row>
    <row r="48" spans="1:2" ht="15.75">
      <c r="A48" s="176"/>
      <c r="B48" s="44" t="s">
        <v>254</v>
      </c>
    </row>
    <row r="49" spans="1:3" ht="15.75">
      <c r="A49" s="176"/>
      <c r="B49" s="44" t="s">
        <v>255</v>
      </c>
    </row>
    <row r="50" spans="1:3" ht="15.75">
      <c r="A50" s="176"/>
      <c r="B50" s="44" t="s">
        <v>256</v>
      </c>
    </row>
    <row r="51" spans="1:3" ht="15.75">
      <c r="A51" s="176"/>
      <c r="B51" s="44"/>
    </row>
    <row r="52" spans="1:3" ht="15.75">
      <c r="A52" s="176"/>
      <c r="B52" s="44" t="s">
        <v>257</v>
      </c>
    </row>
    <row r="53" spans="1:3" ht="15.75">
      <c r="A53" s="176"/>
      <c r="B53" s="44" t="s">
        <v>258</v>
      </c>
    </row>
    <row r="54" spans="1:3" ht="15.75">
      <c r="A54" s="175"/>
      <c r="B54" s="44"/>
    </row>
    <row r="55" spans="1:3" ht="15.75">
      <c r="A55" s="176"/>
      <c r="B55" s="44" t="s">
        <v>259</v>
      </c>
    </row>
    <row r="56" spans="1:3" ht="15.75">
      <c r="A56" s="176"/>
      <c r="B56" s="44"/>
    </row>
    <row r="57" spans="1:3" ht="15.75">
      <c r="A57" s="176" t="s">
        <v>1152</v>
      </c>
      <c r="B57" s="44"/>
    </row>
    <row r="58" spans="1:3" ht="15.75">
      <c r="A58" s="176"/>
      <c r="B58" s="44"/>
    </row>
    <row r="59" spans="1:3" ht="15.75">
      <c r="A59" s="175" t="s">
        <v>295</v>
      </c>
      <c r="B59" s="172" t="s">
        <v>1153</v>
      </c>
    </row>
    <row r="60" spans="1:3" ht="15.75">
      <c r="A60" s="176"/>
      <c r="B60" s="44"/>
    </row>
    <row r="61" spans="1:3" ht="15.75">
      <c r="A61" s="176"/>
      <c r="B61" s="44" t="s">
        <v>1157</v>
      </c>
    </row>
    <row r="62" spans="1:3" ht="15.75">
      <c r="A62" s="176"/>
      <c r="B62" s="44" t="s">
        <v>1158</v>
      </c>
    </row>
    <row r="63" spans="1:3" ht="15.75">
      <c r="A63" s="176"/>
      <c r="B63" s="44"/>
      <c r="C63" t="s">
        <v>1165</v>
      </c>
    </row>
    <row r="64" spans="1:3" ht="15.75">
      <c r="A64" s="176"/>
      <c r="B64" s="44"/>
    </row>
    <row r="65" spans="1:4" ht="15.75">
      <c r="A65" s="176"/>
      <c r="B65" s="44" t="s">
        <v>1152</v>
      </c>
    </row>
    <row r="66" spans="1:4" ht="15.75">
      <c r="A66" s="176"/>
      <c r="B66" s="44"/>
    </row>
    <row r="67" spans="1:4" ht="15.75">
      <c r="A67" s="176"/>
      <c r="B67" s="44" t="s">
        <v>1159</v>
      </c>
    </row>
    <row r="68" spans="1:4" ht="15.75">
      <c r="A68" s="176"/>
      <c r="B68" s="44"/>
    </row>
    <row r="69" spans="1:4" ht="15.75">
      <c r="A69" s="176"/>
      <c r="B69" s="44" t="s">
        <v>1160</v>
      </c>
    </row>
    <row r="70" spans="1:4" ht="15.75">
      <c r="A70" s="176"/>
      <c r="B70" s="783" t="s">
        <v>1162</v>
      </c>
      <c r="C70" s="44" t="s">
        <v>1161</v>
      </c>
    </row>
    <row r="71" spans="1:4" ht="15.75">
      <c r="A71" s="176"/>
      <c r="B71" s="44"/>
      <c r="D71" s="44" t="s">
        <v>1154</v>
      </c>
    </row>
    <row r="72" spans="1:4" ht="15.75">
      <c r="A72" s="176"/>
      <c r="D72" s="44" t="s">
        <v>1155</v>
      </c>
    </row>
    <row r="73" spans="1:4" ht="15.75">
      <c r="A73" s="176"/>
      <c r="D73" s="44" t="s">
        <v>1156</v>
      </c>
    </row>
    <row r="74" spans="1:4" ht="15.75">
      <c r="A74" s="176"/>
      <c r="B74" s="178" t="s">
        <v>1163</v>
      </c>
      <c r="C74" s="44" t="s">
        <v>1164</v>
      </c>
    </row>
    <row r="75" spans="1:4">
      <c r="A75" s="176"/>
    </row>
    <row r="76" spans="1:4" ht="15.75">
      <c r="A76" s="176"/>
      <c r="B76" s="44"/>
    </row>
    <row r="77" spans="1:4" ht="15.75">
      <c r="A77" s="176"/>
      <c r="B77" s="44"/>
    </row>
    <row r="78" spans="1:4" ht="15.75">
      <c r="A78" s="176"/>
      <c r="B78" s="44"/>
    </row>
    <row r="79" spans="1:4" ht="15.75">
      <c r="A79" s="176"/>
      <c r="B79" s="44"/>
    </row>
    <row r="80" spans="1:4" ht="15.75">
      <c r="A80" s="176"/>
      <c r="B80" s="44"/>
    </row>
    <row r="81" spans="1:2" ht="15.75">
      <c r="A81" s="176"/>
      <c r="B81" s="44"/>
    </row>
    <row r="82" spans="1:2" ht="15.75">
      <c r="A82" s="176"/>
      <c r="B82" s="44"/>
    </row>
    <row r="83" spans="1:2" ht="15.75">
      <c r="A83" s="176"/>
      <c r="B83" s="44"/>
    </row>
    <row r="84" spans="1:2" ht="15.75">
      <c r="A84" s="176"/>
      <c r="B84" s="44"/>
    </row>
    <row r="85" spans="1:2" ht="15.75">
      <c r="A85" s="176"/>
      <c r="B85" s="44"/>
    </row>
    <row r="86" spans="1:2" ht="15.75">
      <c r="A86" s="176"/>
      <c r="B86" s="44"/>
    </row>
    <row r="87" spans="1:2" ht="15.75">
      <c r="A87" s="176"/>
      <c r="B87" s="44"/>
    </row>
    <row r="88" spans="1:2" ht="15.75">
      <c r="A88" s="176"/>
      <c r="B88" s="44"/>
    </row>
    <row r="89" spans="1:2" ht="15.75">
      <c r="A89" s="176"/>
      <c r="B89" s="44"/>
    </row>
    <row r="90" spans="1:2" ht="15.75">
      <c r="A90" s="176"/>
      <c r="B90" s="44"/>
    </row>
    <row r="91" spans="1:2" ht="15.75">
      <c r="A91" s="176"/>
      <c r="B91" s="44"/>
    </row>
    <row r="92" spans="1:2" ht="15.75">
      <c r="A92" s="176"/>
      <c r="B92" s="44"/>
    </row>
    <row r="93" spans="1:2" ht="15.75">
      <c r="A93" s="176"/>
      <c r="B93" s="44"/>
    </row>
    <row r="94" spans="1:2" ht="15.75">
      <c r="A94" s="176"/>
      <c r="B94" s="44"/>
    </row>
    <row r="95" spans="1:2" ht="15.75">
      <c r="A95" s="176"/>
      <c r="B95" s="44"/>
    </row>
    <row r="96" spans="1:2" ht="15.75">
      <c r="A96" s="176"/>
      <c r="B96" s="44"/>
    </row>
    <row r="97" spans="1:2" ht="15.75">
      <c r="A97" s="176"/>
      <c r="B97" s="44"/>
    </row>
    <row r="98" spans="1:2" ht="15.75">
      <c r="A98" s="176"/>
      <c r="B98" s="44"/>
    </row>
    <row r="99" spans="1:2" ht="15.75">
      <c r="A99" s="176"/>
      <c r="B99" s="44"/>
    </row>
    <row r="100" spans="1:2" ht="15.75">
      <c r="A100" s="176"/>
      <c r="B100" s="44"/>
    </row>
    <row r="101" spans="1:2" ht="15.75">
      <c r="A101" s="176"/>
      <c r="B101" s="44"/>
    </row>
    <row r="102" spans="1:2" ht="15.75">
      <c r="A102" s="176"/>
      <c r="B102" s="44"/>
    </row>
    <row r="103" spans="1:2" ht="15.75">
      <c r="A103" s="176"/>
      <c r="B103" s="44"/>
    </row>
    <row r="104" spans="1:2" ht="15.75">
      <c r="A104" s="176"/>
      <c r="B104" s="44"/>
    </row>
    <row r="105" spans="1:2" ht="15.75">
      <c r="A105" s="176"/>
      <c r="B105" s="44"/>
    </row>
    <row r="106" spans="1:2" ht="15.75">
      <c r="A106" s="176"/>
      <c r="B106" s="44"/>
    </row>
    <row r="107" spans="1:2" ht="15.75">
      <c r="A107" s="176"/>
      <c r="B107" s="44"/>
    </row>
    <row r="108" spans="1:2" ht="15.75">
      <c r="A108" s="176"/>
      <c r="B108" s="44"/>
    </row>
    <row r="109" spans="1:2" ht="15.75">
      <c r="A109" s="176"/>
      <c r="B109" s="44"/>
    </row>
    <row r="110" spans="1:2" ht="15.75">
      <c r="A110" s="176"/>
      <c r="B110" s="44"/>
    </row>
    <row r="111" spans="1:2" ht="15.75">
      <c r="A111" s="176"/>
      <c r="B111" s="44"/>
    </row>
    <row r="112" spans="1:2" ht="15.75">
      <c r="A112" s="176"/>
      <c r="B112" s="44"/>
    </row>
    <row r="113" spans="1:2" ht="15.75">
      <c r="A113" s="176"/>
      <c r="B113" s="44"/>
    </row>
    <row r="114" spans="1:2" ht="15.75">
      <c r="A114" s="176"/>
      <c r="B114" s="44"/>
    </row>
    <row r="115" spans="1:2" ht="15.75">
      <c r="A115" s="176"/>
      <c r="B115" s="44"/>
    </row>
    <row r="116" spans="1:2" ht="15.75">
      <c r="A116" s="176"/>
      <c r="B116" s="44"/>
    </row>
    <row r="117" spans="1:2" ht="15.75">
      <c r="A117" s="176"/>
      <c r="B117" s="44"/>
    </row>
    <row r="118" spans="1:2" ht="15.75">
      <c r="A118" s="176"/>
      <c r="B118" s="44"/>
    </row>
    <row r="119" spans="1:2" ht="15.75">
      <c r="A119" s="176"/>
      <c r="B119" s="44"/>
    </row>
    <row r="120" spans="1:2" ht="15.75">
      <c r="A120" s="176"/>
      <c r="B120" s="44"/>
    </row>
    <row r="121" spans="1:2" ht="15.75">
      <c r="A121" s="176"/>
      <c r="B121" s="44"/>
    </row>
    <row r="122" spans="1:2" ht="15.75">
      <c r="A122" s="176"/>
      <c r="B122" s="44"/>
    </row>
    <row r="123" spans="1:2" ht="15.75">
      <c r="A123" s="176"/>
      <c r="B123" s="44"/>
    </row>
    <row r="124" spans="1:2" ht="15.75">
      <c r="A124" s="176"/>
      <c r="B124" s="44"/>
    </row>
    <row r="125" spans="1:2" ht="15.75">
      <c r="A125" s="176"/>
      <c r="B125" s="44"/>
    </row>
    <row r="126" spans="1:2" ht="15.75">
      <c r="A126" s="176"/>
      <c r="B126" s="44"/>
    </row>
    <row r="127" spans="1:2" ht="15.75">
      <c r="A127" s="176"/>
      <c r="B127" s="44"/>
    </row>
    <row r="128" spans="1:2" ht="15.75">
      <c r="A128" s="176"/>
      <c r="B128" s="44"/>
    </row>
    <row r="129" spans="1:2" ht="15.75">
      <c r="A129" s="176"/>
      <c r="B129" s="44"/>
    </row>
    <row r="130" spans="1:2" ht="15.75">
      <c r="A130" s="176"/>
      <c r="B130" s="44"/>
    </row>
    <row r="131" spans="1:2" ht="15.75">
      <c r="A131" s="176"/>
      <c r="B131" s="44"/>
    </row>
    <row r="132" spans="1:2" ht="15.75">
      <c r="A132" s="176"/>
      <c r="B132" s="44"/>
    </row>
    <row r="133" spans="1:2" ht="15.75">
      <c r="A133" s="176"/>
      <c r="B133" s="44"/>
    </row>
    <row r="134" spans="1:2" ht="15.75">
      <c r="A134" s="176"/>
      <c r="B134" s="44"/>
    </row>
    <row r="135" spans="1:2" ht="15.75">
      <c r="A135" s="176"/>
      <c r="B135" s="44"/>
    </row>
    <row r="136" spans="1:2" ht="15.75">
      <c r="A136" s="176"/>
      <c r="B136" s="44"/>
    </row>
    <row r="137" spans="1:2" ht="15.75">
      <c r="A137" s="176"/>
      <c r="B137" s="44"/>
    </row>
    <row r="138" spans="1:2" ht="15.75">
      <c r="A138" s="176"/>
      <c r="B138" s="44"/>
    </row>
    <row r="139" spans="1:2" ht="15.75">
      <c r="A139" s="176"/>
      <c r="B139" s="44"/>
    </row>
    <row r="140" spans="1:2" ht="15.75">
      <c r="A140" s="176"/>
      <c r="B140" s="44"/>
    </row>
    <row r="141" spans="1:2" ht="15.75">
      <c r="A141" s="176"/>
      <c r="B141" s="44"/>
    </row>
    <row r="142" spans="1:2" ht="15.75">
      <c r="A142" s="176"/>
      <c r="B142" s="44"/>
    </row>
    <row r="143" spans="1:2" ht="15.75">
      <c r="A143" s="176"/>
      <c r="B143" s="44"/>
    </row>
    <row r="144" spans="1:2" ht="15.75">
      <c r="A144" s="176"/>
      <c r="B144" s="44"/>
    </row>
    <row r="145" spans="1:2" ht="15.75">
      <c r="A145" s="176"/>
      <c r="B145" s="44"/>
    </row>
    <row r="146" spans="1:2" ht="15.75">
      <c r="A146" s="176"/>
      <c r="B146" s="44"/>
    </row>
    <row r="147" spans="1:2" ht="15.75">
      <c r="A147" s="176"/>
      <c r="B147" s="44"/>
    </row>
    <row r="148" spans="1:2" ht="15.75">
      <c r="A148" s="176"/>
      <c r="B148" s="44"/>
    </row>
    <row r="149" spans="1:2" ht="15.75">
      <c r="A149" s="176"/>
      <c r="B149" s="44"/>
    </row>
    <row r="150" spans="1:2" ht="15.75">
      <c r="A150" s="176"/>
      <c r="B150" s="44"/>
    </row>
    <row r="151" spans="1:2" ht="15.75">
      <c r="A151" s="176"/>
      <c r="B151" s="44"/>
    </row>
    <row r="152" spans="1:2" ht="15.75">
      <c r="A152" s="176"/>
      <c r="B152" s="44"/>
    </row>
    <row r="153" spans="1:2" ht="15.75">
      <c r="A153" s="176"/>
      <c r="B153" s="44"/>
    </row>
    <row r="154" spans="1:2" ht="15.75">
      <c r="A154" s="176"/>
      <c r="B154" s="44"/>
    </row>
    <row r="155" spans="1:2" ht="15.75">
      <c r="A155" s="176"/>
      <c r="B155" s="44"/>
    </row>
    <row r="156" spans="1:2" ht="15.75">
      <c r="A156" s="176"/>
      <c r="B156" s="44"/>
    </row>
    <row r="157" spans="1:2" ht="15.75">
      <c r="A157" s="176"/>
      <c r="B157" s="44"/>
    </row>
    <row r="158" spans="1:2" ht="15.75">
      <c r="A158" s="176"/>
      <c r="B158" s="44"/>
    </row>
    <row r="159" spans="1:2" ht="15.75">
      <c r="A159" s="176"/>
      <c r="B159" s="44"/>
    </row>
    <row r="160" spans="1:2" ht="15.75">
      <c r="A160" s="176"/>
      <c r="B160" s="44"/>
    </row>
    <row r="161" spans="1:2" ht="15.75">
      <c r="A161" s="176"/>
      <c r="B161" s="44"/>
    </row>
    <row r="162" spans="1:2" ht="15.75">
      <c r="A162" s="176"/>
      <c r="B162" s="44"/>
    </row>
    <row r="163" spans="1:2" ht="15.75">
      <c r="A163" s="176"/>
      <c r="B163" s="44"/>
    </row>
    <row r="164" spans="1:2" ht="15.75">
      <c r="A164" s="176"/>
      <c r="B164" s="44"/>
    </row>
    <row r="165" spans="1:2" ht="15.75">
      <c r="A165" s="176"/>
      <c r="B165" s="44"/>
    </row>
    <row r="166" spans="1:2" ht="15.75">
      <c r="A166" s="176"/>
      <c r="B166" s="44"/>
    </row>
    <row r="167" spans="1:2" ht="15.75">
      <c r="A167" s="176"/>
      <c r="B167" s="44"/>
    </row>
    <row r="168" spans="1:2" ht="15.75">
      <c r="A168" s="176"/>
      <c r="B168" s="44"/>
    </row>
    <row r="169" spans="1:2" ht="15.75">
      <c r="A169" s="176"/>
      <c r="B169" s="44"/>
    </row>
    <row r="170" spans="1:2" ht="15.75">
      <c r="A170" s="176"/>
      <c r="B170" s="44"/>
    </row>
    <row r="171" spans="1:2" ht="15.75">
      <c r="A171" s="176"/>
      <c r="B171" s="44"/>
    </row>
    <row r="172" spans="1:2" ht="15.75">
      <c r="A172" s="176"/>
      <c r="B172" s="44"/>
    </row>
    <row r="173" spans="1:2" ht="15.75">
      <c r="A173" s="176"/>
      <c r="B173" s="44"/>
    </row>
    <row r="174" spans="1:2" ht="15.75">
      <c r="A174" s="176"/>
      <c r="B174" s="44"/>
    </row>
    <row r="175" spans="1:2" ht="15.75">
      <c r="A175" s="176"/>
      <c r="B175" s="44"/>
    </row>
    <row r="176" spans="1:2" ht="15.75">
      <c r="A176" s="176"/>
      <c r="B176" s="44"/>
    </row>
    <row r="177" spans="2:2" ht="15.75">
      <c r="B177" s="44"/>
    </row>
    <row r="178" spans="2:2" ht="15.75">
      <c r="B178" s="44"/>
    </row>
    <row r="179" spans="2:2" ht="15.75">
      <c r="B179" s="44"/>
    </row>
    <row r="180" spans="2:2" ht="15.75">
      <c r="B180" s="44"/>
    </row>
    <row r="181" spans="2:2" ht="15.75">
      <c r="B181" s="44"/>
    </row>
    <row r="182" spans="2:2" ht="15.75">
      <c r="B182" s="44"/>
    </row>
    <row r="183" spans="2:2" ht="15.75">
      <c r="B183" s="44"/>
    </row>
    <row r="184" spans="2:2" ht="15.75">
      <c r="B184" s="44"/>
    </row>
    <row r="185" spans="2:2" ht="15.75">
      <c r="B185" s="44"/>
    </row>
    <row r="186" spans="2:2" ht="15.75">
      <c r="B186" s="44"/>
    </row>
    <row r="187" spans="2:2" ht="15.75">
      <c r="B187" s="44"/>
    </row>
    <row r="188" spans="2:2" ht="15.75">
      <c r="B188" s="44"/>
    </row>
    <row r="189" spans="2:2" ht="15.75">
      <c r="B189" s="44"/>
    </row>
    <row r="190" spans="2:2" ht="15.75">
      <c r="B190" s="44"/>
    </row>
    <row r="191" spans="2:2" ht="15.75">
      <c r="B191" s="44"/>
    </row>
    <row r="192" spans="2:2" ht="15.75">
      <c r="B192" s="44"/>
    </row>
    <row r="193" spans="2:2" ht="15.75">
      <c r="B193" s="44"/>
    </row>
    <row r="194" spans="2:2" ht="15.75">
      <c r="B194" s="44"/>
    </row>
    <row r="195" spans="2:2" ht="15.75">
      <c r="B195" s="44"/>
    </row>
    <row r="196" spans="2:2" ht="15.75">
      <c r="B196" s="44"/>
    </row>
    <row r="197" spans="2:2" ht="15.75">
      <c r="B197" s="44"/>
    </row>
    <row r="198" spans="2:2" ht="15.75">
      <c r="B198" s="44"/>
    </row>
    <row r="199" spans="2:2" ht="15.75">
      <c r="B199" s="44"/>
    </row>
    <row r="200" spans="2:2" ht="15.75">
      <c r="B200" s="44"/>
    </row>
    <row r="201" spans="2:2" ht="15.75">
      <c r="B201" s="44"/>
    </row>
    <row r="202" spans="2:2" ht="15.75">
      <c r="B202" s="44"/>
    </row>
    <row r="203" spans="2:2" ht="15.75">
      <c r="B203" s="44"/>
    </row>
    <row r="204" spans="2:2" ht="15.75">
      <c r="B204" s="44"/>
    </row>
    <row r="205" spans="2:2" ht="15.75">
      <c r="B205" s="44"/>
    </row>
    <row r="206" spans="2:2" ht="15.75">
      <c r="B206" s="44"/>
    </row>
    <row r="207" spans="2:2" ht="15.75">
      <c r="B207" s="44"/>
    </row>
    <row r="208" spans="2:2" ht="15.75">
      <c r="B208" s="44"/>
    </row>
    <row r="209" spans="2:2" ht="15.75">
      <c r="B209" s="44"/>
    </row>
    <row r="210" spans="2:2" ht="15.75">
      <c r="B210" s="44"/>
    </row>
    <row r="211" spans="2:2" ht="15.75">
      <c r="B211" s="44"/>
    </row>
    <row r="212" spans="2:2" ht="15.75">
      <c r="B212" s="44"/>
    </row>
    <row r="213" spans="2:2" ht="15.75">
      <c r="B213" s="44"/>
    </row>
    <row r="214" spans="2:2" ht="15.75">
      <c r="B214" s="44"/>
    </row>
    <row r="215" spans="2:2" ht="15.75">
      <c r="B215" s="44"/>
    </row>
    <row r="216" spans="2:2" ht="15.75">
      <c r="B216" s="44"/>
    </row>
    <row r="217" spans="2:2" ht="15.75">
      <c r="B217" s="44"/>
    </row>
    <row r="218" spans="2:2" ht="15.75">
      <c r="B218" s="44"/>
    </row>
    <row r="219" spans="2:2" ht="15.75">
      <c r="B219" s="44"/>
    </row>
    <row r="220" spans="2:2" ht="15.75">
      <c r="B220" s="44"/>
    </row>
    <row r="221" spans="2:2" ht="15.75">
      <c r="B221" s="44"/>
    </row>
    <row r="222" spans="2:2" ht="15.75">
      <c r="B222" s="44"/>
    </row>
    <row r="223" spans="2:2" ht="15.75">
      <c r="B223" s="44"/>
    </row>
    <row r="224" spans="2:2" ht="15.75">
      <c r="B224" s="44"/>
    </row>
    <row r="225" spans="2:2" ht="15.75">
      <c r="B225" s="44"/>
    </row>
    <row r="226" spans="2:2" ht="15.75">
      <c r="B226" s="44"/>
    </row>
    <row r="227" spans="2:2" ht="15.75">
      <c r="B227" s="44"/>
    </row>
  </sheetData>
  <pageMargins left="0.70866141732283472" right="0.70866141732283472" top="0.74803149606299213" bottom="0.74803149606299213" header="0.31496062992125984" footer="0.31496062992125984"/>
  <pageSetup paperSize="9" scale="62" orientation="portrait" horizontalDpi="1200" verticalDpi="1200"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view="pageBreakPreview" topLeftCell="A19" zoomScale="60" zoomScaleNormal="100" workbookViewId="0">
      <selection activeCell="B25" sqref="B25"/>
    </sheetView>
  </sheetViews>
  <sheetFormatPr defaultRowHeight="15"/>
  <cols>
    <col min="1" max="1" width="4.85546875" customWidth="1"/>
    <col min="2" max="2" width="18" customWidth="1"/>
    <col min="3" max="3" width="18.140625" customWidth="1"/>
    <col min="4" max="4" width="11.7109375" customWidth="1"/>
    <col min="5" max="5" width="13.7109375" customWidth="1"/>
    <col min="6" max="6" width="25.5703125" customWidth="1"/>
    <col min="7" max="7" width="15.85546875" customWidth="1"/>
    <col min="8" max="8" width="19.5703125" customWidth="1"/>
    <col min="9" max="9" width="14.5703125" customWidth="1"/>
    <col min="10" max="10" width="15.42578125" customWidth="1"/>
    <col min="11" max="11" width="13.42578125" customWidth="1"/>
  </cols>
  <sheetData>
    <row r="1" spans="1:11" ht="23.25">
      <c r="A1" s="7" t="s">
        <v>298</v>
      </c>
      <c r="B1" s="7"/>
      <c r="C1" s="7"/>
      <c r="D1" s="7"/>
      <c r="E1" s="7"/>
      <c r="F1" s="7"/>
      <c r="G1" s="7"/>
      <c r="H1" s="7"/>
      <c r="I1" s="7"/>
      <c r="J1" s="7"/>
      <c r="K1" s="7"/>
    </row>
    <row r="2" spans="1:11" ht="18">
      <c r="A2" s="8" t="s">
        <v>129</v>
      </c>
      <c r="B2" s="8"/>
      <c r="C2" s="8"/>
      <c r="D2" s="8"/>
      <c r="E2" s="8"/>
      <c r="F2" s="8"/>
      <c r="G2" s="8"/>
      <c r="H2" s="8"/>
      <c r="I2" s="8"/>
      <c r="J2" s="8"/>
      <c r="K2" s="8"/>
    </row>
    <row r="3" spans="1:11" ht="27" thickBot="1">
      <c r="A3" s="9"/>
      <c r="B3" s="10"/>
      <c r="C3" s="10"/>
      <c r="D3" s="10"/>
      <c r="E3" s="10"/>
      <c r="F3" s="10"/>
      <c r="G3" s="10"/>
      <c r="H3" s="10"/>
      <c r="I3" s="10"/>
      <c r="J3" s="10"/>
      <c r="K3" s="10"/>
    </row>
    <row r="7" spans="1:11" ht="15.75">
      <c r="H7" s="808" t="s">
        <v>52</v>
      </c>
      <c r="I7" s="808"/>
      <c r="J7" s="809" t="s">
        <v>299</v>
      </c>
      <c r="K7" s="809"/>
    </row>
    <row r="8" spans="1:11" ht="15.75">
      <c r="G8" s="96"/>
      <c r="H8" s="128" t="s">
        <v>21</v>
      </c>
      <c r="I8" s="128" t="s">
        <v>22</v>
      </c>
      <c r="J8" s="129" t="s">
        <v>21</v>
      </c>
      <c r="K8" s="99" t="s">
        <v>22</v>
      </c>
    </row>
    <row r="9" spans="1:11" ht="15.75">
      <c r="A9" s="26">
        <v>1</v>
      </c>
      <c r="B9" s="27" t="s">
        <v>12</v>
      </c>
      <c r="C9" s="6"/>
      <c r="D9" s="6"/>
      <c r="E9" s="6"/>
      <c r="G9" s="127" t="s">
        <v>20</v>
      </c>
      <c r="H9" s="131" t="s">
        <v>128</v>
      </c>
      <c r="I9" s="131" t="s">
        <v>128</v>
      </c>
      <c r="J9" s="130" t="s">
        <v>128</v>
      </c>
      <c r="K9" s="130" t="s">
        <v>128</v>
      </c>
    </row>
    <row r="10" spans="1:11" ht="15.75">
      <c r="A10" s="180"/>
      <c r="B10" s="180"/>
      <c r="G10" s="130"/>
      <c r="H10" s="95"/>
      <c r="I10" s="95"/>
      <c r="J10" s="96"/>
      <c r="K10" s="97"/>
    </row>
    <row r="11" spans="1:11" ht="15.75">
      <c r="A11" s="180"/>
      <c r="B11" s="24" t="s">
        <v>300</v>
      </c>
      <c r="G11" s="99"/>
      <c r="H11" s="95">
        <f>19926+1635+11799-750</f>
        <v>32610</v>
      </c>
      <c r="I11" s="95">
        <f>33360-750</f>
        <v>32610</v>
      </c>
      <c r="J11" s="96">
        <f>17373+2564+10273</f>
        <v>30210</v>
      </c>
      <c r="K11" s="97">
        <v>30210</v>
      </c>
    </row>
    <row r="12" spans="1:11" ht="15.75">
      <c r="A12" s="180"/>
      <c r="B12" s="24" t="s">
        <v>301</v>
      </c>
      <c r="G12" s="99"/>
      <c r="H12" s="95">
        <f>9000+11790</f>
        <v>20790</v>
      </c>
      <c r="I12" s="95">
        <v>20790</v>
      </c>
      <c r="J12" s="96">
        <f>9000+11450-380</f>
        <v>20070</v>
      </c>
      <c r="K12" s="97">
        <v>20070</v>
      </c>
    </row>
    <row r="13" spans="1:11" ht="15.75">
      <c r="A13" s="180"/>
      <c r="B13" s="24" t="s">
        <v>302</v>
      </c>
      <c r="G13" s="99"/>
      <c r="H13" s="95">
        <v>1890</v>
      </c>
      <c r="I13" s="95">
        <v>1890</v>
      </c>
      <c r="J13" s="96">
        <v>1320</v>
      </c>
      <c r="K13" s="97">
        <v>1320</v>
      </c>
    </row>
    <row r="14" spans="1:11" ht="15.75">
      <c r="A14" s="180"/>
      <c r="B14" s="24" t="s">
        <v>1002</v>
      </c>
      <c r="G14" s="99"/>
      <c r="H14" s="95">
        <v>750</v>
      </c>
      <c r="I14" s="95">
        <v>750</v>
      </c>
      <c r="J14" s="96"/>
      <c r="K14" s="727"/>
    </row>
    <row r="15" spans="1:11" ht="16.5" thickBot="1">
      <c r="G15" s="99"/>
      <c r="H15" s="132">
        <f>SUM(H11:H14)</f>
        <v>56040</v>
      </c>
      <c r="I15" s="132">
        <f>SUM(I11:I14)</f>
        <v>56040</v>
      </c>
      <c r="J15" s="133">
        <f>SUM(J11:J14)</f>
        <v>51600</v>
      </c>
      <c r="K15" s="133">
        <f>SUM(K11:K14)</f>
        <v>51600</v>
      </c>
    </row>
    <row r="16" spans="1:11" ht="16.5" thickTop="1">
      <c r="G16" s="99"/>
      <c r="H16" s="180"/>
      <c r="I16" s="180"/>
      <c r="J16" s="180"/>
      <c r="K16" s="180"/>
    </row>
    <row r="17" spans="1:11" ht="15.75">
      <c r="G17" s="96"/>
    </row>
    <row r="18" spans="1:11" ht="15.75">
      <c r="G18" s="96"/>
    </row>
    <row r="19" spans="1:11" ht="15.75">
      <c r="G19" s="96"/>
    </row>
    <row r="20" spans="1:11" ht="15.75">
      <c r="G20" s="180"/>
    </row>
    <row r="21" spans="1:11" ht="15.75">
      <c r="A21" s="100">
        <v>2</v>
      </c>
      <c r="B21" s="101" t="s">
        <v>13</v>
      </c>
    </row>
    <row r="22" spans="1:11" ht="15.75">
      <c r="A22" s="99"/>
      <c r="B22" s="99"/>
    </row>
    <row r="23" spans="1:11" ht="15.75">
      <c r="A23" s="98"/>
      <c r="B23" s="101" t="s">
        <v>303</v>
      </c>
    </row>
    <row r="24" spans="1:11" ht="15.75">
      <c r="A24" s="98"/>
      <c r="B24" s="97" t="s">
        <v>304</v>
      </c>
      <c r="H24" s="95">
        <f>+-11799+30384</f>
        <v>18585</v>
      </c>
      <c r="I24" s="95">
        <v>18585</v>
      </c>
      <c r="J24" s="96">
        <f>+-10273+30049</f>
        <v>19776</v>
      </c>
      <c r="K24" s="97">
        <v>19776</v>
      </c>
    </row>
    <row r="25" spans="1:11" ht="15.75">
      <c r="A25" s="98"/>
      <c r="B25" s="97" t="s">
        <v>1206</v>
      </c>
      <c r="H25" s="95">
        <v>900</v>
      </c>
      <c r="I25" s="95">
        <v>900</v>
      </c>
      <c r="J25" s="96">
        <v>863</v>
      </c>
      <c r="K25" s="97">
        <v>863</v>
      </c>
    </row>
    <row r="26" spans="1:11" ht="15.75">
      <c r="A26" s="98"/>
      <c r="B26" s="97" t="s">
        <v>305</v>
      </c>
      <c r="H26" s="95">
        <v>695</v>
      </c>
      <c r="I26" s="95">
        <v>695</v>
      </c>
      <c r="J26" s="96">
        <v>688</v>
      </c>
      <c r="K26" s="97">
        <v>688</v>
      </c>
    </row>
    <row r="27" spans="1:11" ht="15.75">
      <c r="A27" s="98"/>
      <c r="B27" s="97" t="s">
        <v>306</v>
      </c>
      <c r="H27" s="95">
        <v>200</v>
      </c>
      <c r="I27" s="95">
        <v>200</v>
      </c>
      <c r="J27" s="96">
        <v>350</v>
      </c>
      <c r="K27" s="97">
        <v>350</v>
      </c>
    </row>
    <row r="28" spans="1:11" ht="15.75">
      <c r="A28" s="98"/>
      <c r="B28" s="97"/>
      <c r="H28" s="95"/>
      <c r="I28" s="95"/>
      <c r="J28" s="96"/>
      <c r="K28" s="97"/>
    </row>
    <row r="29" spans="1:11" ht="15.75">
      <c r="A29" s="98"/>
      <c r="B29" s="101" t="s">
        <v>307</v>
      </c>
      <c r="H29" s="95"/>
      <c r="I29" s="95"/>
      <c r="J29" s="96"/>
      <c r="K29" s="97"/>
    </row>
    <row r="30" spans="1:11" ht="15.75">
      <c r="A30" s="98"/>
      <c r="B30" s="97" t="s">
        <v>308</v>
      </c>
      <c r="H30" s="95">
        <f>+-3000+10100</f>
        <v>7100</v>
      </c>
      <c r="I30" s="95">
        <v>7100</v>
      </c>
      <c r="J30" s="96">
        <f>+-3000+9400</f>
        <v>6400</v>
      </c>
      <c r="K30" s="97">
        <v>6400</v>
      </c>
    </row>
    <row r="31" spans="1:11" ht="15.75">
      <c r="A31" s="98"/>
      <c r="B31" s="97" t="s">
        <v>309</v>
      </c>
      <c r="H31" s="95">
        <f>+-3000+5260</f>
        <v>2260</v>
      </c>
      <c r="I31" s="95">
        <v>2260</v>
      </c>
      <c r="J31" s="96">
        <v>2200</v>
      </c>
      <c r="K31" s="97">
        <v>2200</v>
      </c>
    </row>
    <row r="32" spans="1:11" ht="15.75">
      <c r="A32" s="98"/>
      <c r="B32" s="97" t="s">
        <v>305</v>
      </c>
      <c r="H32" s="95">
        <f>+-3000+8701</f>
        <v>5701</v>
      </c>
      <c r="I32" s="95">
        <v>5701</v>
      </c>
      <c r="J32" s="96">
        <f>+-6000+8400</f>
        <v>2400</v>
      </c>
      <c r="K32" s="97">
        <v>2400</v>
      </c>
    </row>
    <row r="33" spans="1:11" ht="15.75">
      <c r="A33" s="98"/>
      <c r="B33" s="727" t="s">
        <v>306</v>
      </c>
      <c r="H33" s="165">
        <v>0</v>
      </c>
      <c r="I33" s="165">
        <v>0</v>
      </c>
      <c r="J33" s="165">
        <v>0</v>
      </c>
      <c r="K33" s="165">
        <v>0</v>
      </c>
    </row>
    <row r="34" spans="1:11" ht="15.75">
      <c r="H34" s="95"/>
      <c r="I34" s="95"/>
      <c r="J34" s="96"/>
      <c r="K34" s="97"/>
    </row>
    <row r="35" spans="1:11" ht="16.5" thickBot="1">
      <c r="H35" s="132">
        <f>SUM(H24:H34)</f>
        <v>35441</v>
      </c>
      <c r="I35" s="132">
        <f t="shared" ref="I35:K35" si="0">SUM(I24:I34)</f>
        <v>35441</v>
      </c>
      <c r="J35" s="133">
        <f t="shared" si="0"/>
        <v>32677</v>
      </c>
      <c r="K35" s="133">
        <f t="shared" si="0"/>
        <v>32677</v>
      </c>
    </row>
    <row r="36" spans="1:11" ht="16.5" thickTop="1">
      <c r="B36" s="183" t="s">
        <v>1147</v>
      </c>
      <c r="H36" s="180"/>
      <c r="I36" s="180"/>
      <c r="J36" s="180"/>
      <c r="K36" s="180"/>
    </row>
    <row r="37" spans="1:11" ht="15.75">
      <c r="H37" s="180"/>
      <c r="I37" s="180"/>
      <c r="J37" s="180"/>
      <c r="K37" s="180"/>
    </row>
    <row r="38" spans="1:11" ht="15.75">
      <c r="H38" s="180"/>
      <c r="I38" s="180"/>
      <c r="J38" s="180"/>
      <c r="K38" s="180"/>
    </row>
    <row r="41" spans="1:11" ht="15.75">
      <c r="A41" s="100">
        <v>3</v>
      </c>
      <c r="B41" s="101" t="s">
        <v>14</v>
      </c>
    </row>
    <row r="42" spans="1:11" ht="15.75">
      <c r="A42" s="98"/>
      <c r="B42" s="97"/>
    </row>
    <row r="43" spans="1:11" ht="15.75">
      <c r="A43" s="98"/>
      <c r="B43" s="810" t="s">
        <v>1142</v>
      </c>
      <c r="C43" s="810"/>
      <c r="D43" s="810"/>
      <c r="E43" s="810"/>
      <c r="F43" s="810"/>
      <c r="G43" s="810"/>
      <c r="H43" s="95">
        <v>11141</v>
      </c>
      <c r="I43" s="95">
        <v>11141</v>
      </c>
      <c r="J43" s="96">
        <v>9408</v>
      </c>
      <c r="K43" s="97">
        <v>9408</v>
      </c>
    </row>
    <row r="44" spans="1:11" ht="15.75">
      <c r="A44" s="98"/>
      <c r="B44" s="810" t="s">
        <v>1144</v>
      </c>
      <c r="C44" s="810"/>
      <c r="D44" s="810"/>
      <c r="E44" s="810"/>
      <c r="F44" s="810"/>
      <c r="G44" s="810"/>
      <c r="H44" s="95">
        <v>4340</v>
      </c>
      <c r="I44" s="95">
        <v>4340</v>
      </c>
      <c r="J44" s="96">
        <v>3658</v>
      </c>
      <c r="K44" s="97">
        <v>3658</v>
      </c>
    </row>
    <row r="45" spans="1:11" ht="15.75">
      <c r="A45" s="98"/>
      <c r="B45" s="754" t="s">
        <v>1141</v>
      </c>
      <c r="C45" s="754"/>
      <c r="D45" s="754"/>
      <c r="E45" s="754"/>
      <c r="F45" s="754"/>
      <c r="G45" s="754"/>
      <c r="H45" s="95">
        <v>3725</v>
      </c>
      <c r="I45" s="95">
        <v>3725</v>
      </c>
      <c r="J45" s="96">
        <v>2415</v>
      </c>
      <c r="K45" s="96">
        <v>2415</v>
      </c>
    </row>
    <row r="46" spans="1:11" ht="15.75">
      <c r="A46" s="98"/>
      <c r="B46" s="97" t="s">
        <v>310</v>
      </c>
      <c r="H46" s="95">
        <v>4124</v>
      </c>
      <c r="I46" s="95">
        <v>4124</v>
      </c>
      <c r="J46" s="96">
        <v>4675</v>
      </c>
      <c r="K46" s="97">
        <v>4675</v>
      </c>
    </row>
    <row r="47" spans="1:11" ht="15.75">
      <c r="A47" s="98"/>
      <c r="B47" s="97" t="s">
        <v>311</v>
      </c>
      <c r="H47" s="181">
        <f>11926-531-H45</f>
        <v>7670</v>
      </c>
      <c r="I47" s="181">
        <f>11926-531-I45</f>
        <v>7670</v>
      </c>
      <c r="J47" s="182">
        <f>11113-517-J45</f>
        <v>8181</v>
      </c>
      <c r="K47" s="182">
        <f>10596-K45</f>
        <v>8181</v>
      </c>
    </row>
    <row r="48" spans="1:11" ht="16.5" thickBot="1">
      <c r="H48" s="134">
        <f>SUM(H43:H47)</f>
        <v>31000</v>
      </c>
      <c r="I48" s="134">
        <f t="shared" ref="I48:K48" si="1">SUM(I43:I47)</f>
        <v>31000</v>
      </c>
      <c r="J48" s="135">
        <f t="shared" si="1"/>
        <v>28337</v>
      </c>
      <c r="K48" s="135">
        <f t="shared" si="1"/>
        <v>28337</v>
      </c>
    </row>
    <row r="49" spans="1:11" ht="15.75" thickTop="1">
      <c r="B49" t="s">
        <v>1143</v>
      </c>
    </row>
    <row r="54" spans="1:11" ht="15.75">
      <c r="A54" s="100">
        <v>4</v>
      </c>
      <c r="B54" s="101" t="s">
        <v>15</v>
      </c>
    </row>
    <row r="55" spans="1:11" ht="15.75">
      <c r="A55" s="66"/>
      <c r="B55" s="97"/>
    </row>
    <row r="56" spans="1:11" ht="15.75">
      <c r="A56" s="66"/>
      <c r="B56" s="183" t="s">
        <v>312</v>
      </c>
      <c r="G56" s="97"/>
      <c r="H56" s="95">
        <v>23644</v>
      </c>
      <c r="I56" s="95">
        <v>23068</v>
      </c>
      <c r="J56" s="96">
        <v>22277</v>
      </c>
      <c r="K56" s="97">
        <v>21377</v>
      </c>
    </row>
    <row r="57" spans="1:11" ht="15.75">
      <c r="A57" s="250"/>
      <c r="B57" s="183" t="s">
        <v>1003</v>
      </c>
      <c r="G57" s="727"/>
      <c r="H57" s="165">
        <v>0</v>
      </c>
      <c r="I57" s="165">
        <v>0</v>
      </c>
      <c r="J57" s="165">
        <v>0</v>
      </c>
      <c r="K57" s="165">
        <v>0</v>
      </c>
    </row>
    <row r="58" spans="1:11" ht="15.75">
      <c r="A58" s="250"/>
      <c r="B58" s="183" t="s">
        <v>1004</v>
      </c>
      <c r="G58" s="727"/>
      <c r="H58" s="41">
        <f>18448+'Note 26 &amp; 27'!J15</f>
        <v>18648</v>
      </c>
      <c r="I58" s="41">
        <f>18448+'Note 26 &amp; 27'!J15</f>
        <v>18648</v>
      </c>
      <c r="J58" s="40">
        <v>7232</v>
      </c>
      <c r="K58" s="40">
        <v>7232</v>
      </c>
    </row>
    <row r="59" spans="1:11" ht="15.75">
      <c r="A59" s="64"/>
      <c r="B59" s="183" t="s">
        <v>15</v>
      </c>
      <c r="G59" s="101"/>
      <c r="H59" s="95">
        <v>14183</v>
      </c>
      <c r="I59" s="95">
        <v>9485</v>
      </c>
      <c r="J59" s="96">
        <v>12907</v>
      </c>
      <c r="K59" s="97">
        <v>9047</v>
      </c>
    </row>
    <row r="60" spans="1:11" ht="15.75">
      <c r="A60" s="66"/>
      <c r="B60" s="183" t="s">
        <v>313</v>
      </c>
      <c r="G60" s="97">
        <v>15</v>
      </c>
      <c r="H60" s="679">
        <f>-'Note 15-16'!L12</f>
        <v>134</v>
      </c>
      <c r="I60" s="95">
        <v>134</v>
      </c>
      <c r="J60" s="96">
        <v>456</v>
      </c>
      <c r="K60" s="97">
        <v>456</v>
      </c>
    </row>
    <row r="61" spans="1:11" ht="16.5" thickBot="1">
      <c r="B61" s="183"/>
      <c r="G61" s="97"/>
      <c r="H61" s="132">
        <f>SUM(H56:H60)</f>
        <v>56609</v>
      </c>
      <c r="I61" s="132">
        <f t="shared" ref="I61:K61" si="2">SUM(I56:I60)</f>
        <v>51335</v>
      </c>
      <c r="J61" s="133">
        <f t="shared" si="2"/>
        <v>42872</v>
      </c>
      <c r="K61" s="133">
        <f t="shared" si="2"/>
        <v>38112</v>
      </c>
    </row>
    <row r="62" spans="1:11" ht="16.5" thickTop="1">
      <c r="B62" s="183" t="s">
        <v>1145</v>
      </c>
      <c r="G62" s="97"/>
      <c r="H62" s="95"/>
      <c r="I62" s="95"/>
      <c r="J62" s="96"/>
      <c r="K62" s="96"/>
    </row>
    <row r="63" spans="1:11" ht="15.75">
      <c r="B63" s="183" t="s">
        <v>1146</v>
      </c>
      <c r="G63" s="97"/>
      <c r="H63" s="95"/>
      <c r="I63" s="95"/>
      <c r="J63" s="96"/>
      <c r="K63" s="96"/>
    </row>
    <row r="66" spans="1:11" ht="15.75">
      <c r="A66" s="26">
        <v>5</v>
      </c>
      <c r="B66" s="27" t="s">
        <v>16</v>
      </c>
      <c r="C66" s="180"/>
      <c r="D66" s="180"/>
      <c r="E66" s="180"/>
      <c r="F66" s="180"/>
      <c r="G66" s="180"/>
      <c r="H66" s="180"/>
      <c r="I66" s="180"/>
      <c r="J66" s="180"/>
      <c r="K66" s="180"/>
    </row>
    <row r="67" spans="1:11" ht="15.75">
      <c r="A67" s="26"/>
      <c r="B67" s="27"/>
      <c r="C67" s="180"/>
      <c r="D67" s="180"/>
      <c r="E67" s="180"/>
      <c r="F67" s="180"/>
      <c r="G67" s="180"/>
      <c r="H67" s="180"/>
      <c r="I67" s="180"/>
      <c r="J67" s="180"/>
      <c r="K67" s="180"/>
    </row>
    <row r="68" spans="1:11" ht="15.75">
      <c r="A68" s="24"/>
      <c r="B68" s="24" t="s">
        <v>1029</v>
      </c>
      <c r="C68" s="180"/>
      <c r="D68" s="180"/>
      <c r="E68" s="180"/>
      <c r="F68" s="180"/>
      <c r="G68" s="24">
        <v>25</v>
      </c>
      <c r="H68" s="22">
        <v>118</v>
      </c>
      <c r="I68" s="22">
        <v>118</v>
      </c>
      <c r="J68" s="23">
        <v>195</v>
      </c>
      <c r="K68" s="23">
        <v>195</v>
      </c>
    </row>
    <row r="69" spans="1:11" ht="15.75">
      <c r="A69" s="24"/>
      <c r="B69" s="24" t="s">
        <v>1030</v>
      </c>
      <c r="C69" s="180"/>
      <c r="D69" s="180"/>
      <c r="E69" s="180"/>
      <c r="F69" s="180"/>
      <c r="G69" s="24">
        <v>26</v>
      </c>
      <c r="H69" s="22">
        <v>66</v>
      </c>
      <c r="I69" s="22">
        <v>66</v>
      </c>
      <c r="J69" s="23">
        <v>70</v>
      </c>
      <c r="K69" s="23">
        <v>70</v>
      </c>
    </row>
    <row r="70" spans="1:11" ht="15.75">
      <c r="A70" s="24"/>
      <c r="B70" s="24" t="s">
        <v>1031</v>
      </c>
      <c r="C70" s="180"/>
      <c r="D70" s="180"/>
      <c r="E70" s="180"/>
      <c r="F70" s="180"/>
      <c r="G70" s="24"/>
      <c r="H70" s="22">
        <f>1725-H69-H68</f>
        <v>1541</v>
      </c>
      <c r="I70" s="22">
        <f>1725-I69-I68</f>
        <v>1541</v>
      </c>
      <c r="J70" s="23">
        <f>1903-J68-J69</f>
        <v>1638</v>
      </c>
      <c r="K70" s="23">
        <f>1903-K68-K69</f>
        <v>1638</v>
      </c>
    </row>
    <row r="71" spans="1:11" ht="15.75">
      <c r="A71" s="24"/>
      <c r="B71" s="24" t="s">
        <v>1032</v>
      </c>
      <c r="C71" s="180"/>
      <c r="D71" s="180"/>
      <c r="E71" s="180"/>
      <c r="F71" s="180"/>
      <c r="G71" s="24">
        <v>35</v>
      </c>
      <c r="H71" s="22">
        <v>230</v>
      </c>
      <c r="I71" s="22">
        <v>230</v>
      </c>
      <c r="J71" s="23">
        <v>257</v>
      </c>
      <c r="K71" s="23">
        <v>257</v>
      </c>
    </row>
    <row r="72" spans="1:11" ht="16.5" thickBot="1">
      <c r="A72" s="24"/>
      <c r="C72" s="180"/>
      <c r="D72" s="180"/>
      <c r="E72" s="180"/>
      <c r="F72" s="180"/>
      <c r="G72" s="24"/>
      <c r="H72" s="42">
        <f>SUM(H68:H71)</f>
        <v>1955</v>
      </c>
      <c r="I72" s="42">
        <f t="shared" ref="I72:K72" si="3">SUM(I68:I71)</f>
        <v>1955</v>
      </c>
      <c r="J72" s="43">
        <f t="shared" si="3"/>
        <v>2160</v>
      </c>
      <c r="K72" s="43">
        <f t="shared" si="3"/>
        <v>2160</v>
      </c>
    </row>
    <row r="73" spans="1:11" ht="15.75" thickTop="1"/>
    <row r="76" spans="1:11" ht="15.75">
      <c r="A76" s="26">
        <v>6</v>
      </c>
      <c r="B76" s="27" t="s">
        <v>17</v>
      </c>
      <c r="C76" s="180"/>
      <c r="D76" s="180"/>
      <c r="E76" s="180"/>
      <c r="F76" s="180"/>
      <c r="G76" s="180"/>
      <c r="H76" s="180"/>
      <c r="I76" s="180"/>
      <c r="J76" s="180"/>
      <c r="K76" s="180"/>
    </row>
    <row r="77" spans="1:11" ht="15.75">
      <c r="A77" s="25"/>
      <c r="B77" s="24"/>
      <c r="C77" s="180"/>
      <c r="D77" s="180"/>
      <c r="E77" s="180"/>
      <c r="F77" s="180"/>
      <c r="G77" s="180"/>
      <c r="H77" s="180"/>
      <c r="I77" s="180"/>
      <c r="J77" s="180"/>
      <c r="K77" s="180"/>
    </row>
    <row r="78" spans="1:11" ht="15.75">
      <c r="A78" s="25"/>
      <c r="B78" s="24" t="s">
        <v>314</v>
      </c>
      <c r="C78" s="180"/>
      <c r="D78" s="180"/>
      <c r="E78" s="180"/>
      <c r="F78" s="180"/>
      <c r="G78" s="24">
        <v>25</v>
      </c>
      <c r="H78" s="680">
        <f>'Note 25'!K17</f>
        <v>2123</v>
      </c>
      <c r="I78" s="680">
        <f>'Note 25'!K17</f>
        <v>2123</v>
      </c>
      <c r="J78" s="681">
        <f>'Note 25'!L17</f>
        <v>1950</v>
      </c>
      <c r="K78" s="681">
        <f>'Note 25'!L17</f>
        <v>1950</v>
      </c>
    </row>
    <row r="79" spans="1:11" ht="15.75">
      <c r="A79" s="25"/>
      <c r="B79" s="24" t="s">
        <v>315</v>
      </c>
      <c r="C79" s="180"/>
      <c r="D79" s="180"/>
      <c r="E79" s="180"/>
      <c r="F79" s="180"/>
      <c r="G79" s="24">
        <v>26</v>
      </c>
      <c r="H79" s="680">
        <f>'Note 26 &amp; 27'!J16</f>
        <v>407</v>
      </c>
      <c r="I79" s="680">
        <f>'Note 26 &amp; 27'!J16</f>
        <v>407</v>
      </c>
      <c r="J79" s="681">
        <f>'Note 26 &amp; 27'!K16</f>
        <v>659</v>
      </c>
      <c r="K79" s="681">
        <f>'Note 26 &amp; 27'!K16</f>
        <v>659</v>
      </c>
    </row>
    <row r="80" spans="1:11" ht="15.75">
      <c r="A80" s="25"/>
      <c r="B80" s="24" t="s">
        <v>316</v>
      </c>
      <c r="C80" s="180"/>
      <c r="D80" s="180"/>
      <c r="E80" s="180"/>
      <c r="F80" s="180"/>
      <c r="G80" s="24"/>
      <c r="H80" s="41">
        <v>450</v>
      </c>
      <c r="I80" s="41">
        <v>450</v>
      </c>
      <c r="J80" s="40">
        <v>542</v>
      </c>
      <c r="K80" s="40">
        <v>542</v>
      </c>
    </row>
    <row r="81" spans="1:11" ht="16.5" thickBot="1">
      <c r="A81" s="180"/>
      <c r="B81" s="180"/>
      <c r="C81" s="180"/>
      <c r="D81" s="180"/>
      <c r="E81" s="180"/>
      <c r="F81" s="180"/>
      <c r="G81" s="24"/>
      <c r="H81" s="42">
        <f>SUM(H78:H80)</f>
        <v>2980</v>
      </c>
      <c r="I81" s="42">
        <f>SUM(I78:I80)</f>
        <v>2980</v>
      </c>
      <c r="J81" s="43">
        <f>SUM(J78:J80)</f>
        <v>3151</v>
      </c>
      <c r="K81" s="43">
        <f>SUM(K78:K80)</f>
        <v>3151</v>
      </c>
    </row>
    <row r="82" spans="1:11" ht="15.75" thickTop="1"/>
  </sheetData>
  <mergeCells count="4">
    <mergeCell ref="H7:I7"/>
    <mergeCell ref="J7:K7"/>
    <mergeCell ref="B43:G43"/>
    <mergeCell ref="B44:G44"/>
  </mergeCells>
  <pageMargins left="0.70866141732283472" right="0.70866141732283472" top="0.74803149606299213" bottom="0.74803149606299213" header="0.31496062992125984" footer="0.31496062992125984"/>
  <pageSetup paperSize="9" scale="51" orientation="portrait" horizontalDpi="1200" verticalDpi="1200"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topLeftCell="A35" zoomScale="60" zoomScaleNormal="100" workbookViewId="0">
      <selection activeCell="H57" sqref="H57"/>
    </sheetView>
  </sheetViews>
  <sheetFormatPr defaultRowHeight="15"/>
  <cols>
    <col min="1" max="1" width="3" customWidth="1"/>
    <col min="2" max="2" width="4.140625" customWidth="1"/>
    <col min="8" max="8" width="16.140625" customWidth="1"/>
    <col min="9" max="9" width="13.42578125" customWidth="1"/>
    <col min="10" max="10" width="19" customWidth="1"/>
    <col min="11" max="11" width="18.7109375" customWidth="1"/>
  </cols>
  <sheetData>
    <row r="1" spans="1:12" ht="23.25">
      <c r="A1" s="3" t="s">
        <v>298</v>
      </c>
      <c r="B1" s="3"/>
      <c r="C1" s="3"/>
      <c r="D1" s="3"/>
      <c r="E1" s="3"/>
      <c r="F1" s="3"/>
      <c r="G1" s="3"/>
      <c r="H1" s="3"/>
      <c r="I1" s="3"/>
      <c r="J1" s="3"/>
      <c r="K1" s="3"/>
      <c r="L1" s="3"/>
    </row>
    <row r="2" spans="1:12" ht="18">
      <c r="A2" s="4" t="s">
        <v>129</v>
      </c>
      <c r="B2" s="4"/>
      <c r="C2" s="4"/>
      <c r="D2" s="4"/>
      <c r="E2" s="4"/>
      <c r="F2" s="4"/>
      <c r="G2" s="4"/>
      <c r="H2" s="4"/>
      <c r="I2" s="4"/>
      <c r="J2" s="4"/>
      <c r="K2" s="4"/>
      <c r="L2" s="4"/>
    </row>
    <row r="3" spans="1:12" ht="15.75" thickBot="1">
      <c r="A3" s="5"/>
      <c r="B3" s="2"/>
      <c r="C3" s="2"/>
      <c r="D3" s="2"/>
      <c r="E3" s="2"/>
      <c r="F3" s="2"/>
      <c r="G3" s="2"/>
      <c r="H3" s="2"/>
      <c r="I3" s="2"/>
      <c r="J3" s="2"/>
      <c r="K3" s="2"/>
      <c r="L3" s="2"/>
    </row>
    <row r="5" spans="1:12" ht="15.75">
      <c r="H5" s="811" t="s">
        <v>317</v>
      </c>
      <c r="I5" s="811"/>
      <c r="J5" s="811" t="s">
        <v>317</v>
      </c>
      <c r="K5" s="811"/>
    </row>
    <row r="6" spans="1:12" ht="15.75">
      <c r="H6" s="812" t="s">
        <v>318</v>
      </c>
      <c r="I6" s="812"/>
      <c r="J6" s="813" t="s">
        <v>319</v>
      </c>
      <c r="K6" s="813"/>
    </row>
    <row r="7" spans="1:12" ht="15.75">
      <c r="H7" s="184" t="s">
        <v>21</v>
      </c>
      <c r="I7" s="184" t="s">
        <v>22</v>
      </c>
      <c r="J7" s="185" t="s">
        <v>21</v>
      </c>
      <c r="K7" s="185" t="s">
        <v>22</v>
      </c>
    </row>
    <row r="8" spans="1:12" ht="15.75">
      <c r="H8" s="186" t="s">
        <v>128</v>
      </c>
      <c r="I8" s="186" t="s">
        <v>128</v>
      </c>
      <c r="J8" s="187" t="s">
        <v>128</v>
      </c>
      <c r="K8" s="187" t="s">
        <v>128</v>
      </c>
    </row>
    <row r="9" spans="1:12" ht="15.75">
      <c r="A9" s="188">
        <v>7</v>
      </c>
      <c r="B9" s="189" t="s">
        <v>26</v>
      </c>
      <c r="H9" s="190"/>
      <c r="I9" s="190"/>
      <c r="J9" s="190"/>
      <c r="K9" s="190"/>
    </row>
    <row r="10" spans="1:12" ht="15.75">
      <c r="A10" s="188"/>
      <c r="B10" s="191"/>
      <c r="H10" s="190"/>
      <c r="I10" s="190"/>
      <c r="J10" s="190"/>
      <c r="K10" s="190"/>
    </row>
    <row r="11" spans="1:12" ht="15.75">
      <c r="A11" s="192"/>
      <c r="B11" s="190" t="s">
        <v>320</v>
      </c>
      <c r="H11" s="186" t="s">
        <v>128</v>
      </c>
      <c r="I11" s="186" t="s">
        <v>128</v>
      </c>
      <c r="J11" s="187" t="s">
        <v>128</v>
      </c>
      <c r="K11" s="187" t="s">
        <v>128</v>
      </c>
    </row>
    <row r="12" spans="1:12" ht="15.75">
      <c r="A12" s="190"/>
      <c r="B12" s="193" t="s">
        <v>321</v>
      </c>
      <c r="H12" s="186">
        <v>76131</v>
      </c>
      <c r="I12" s="186">
        <f>76131-260</f>
        <v>75871</v>
      </c>
      <c r="J12" s="187">
        <v>73156</v>
      </c>
      <c r="K12" s="187">
        <f>73156-175</f>
        <v>72981</v>
      </c>
    </row>
    <row r="13" spans="1:12" ht="15.75">
      <c r="A13" s="190"/>
      <c r="B13" s="193" t="s">
        <v>322</v>
      </c>
      <c r="H13" s="186">
        <v>5700</v>
      </c>
      <c r="I13" s="186">
        <f>5700-4</f>
        <v>5696</v>
      </c>
      <c r="J13" s="187">
        <v>5825</v>
      </c>
      <c r="K13" s="187">
        <f>5825-5</f>
        <v>5820</v>
      </c>
    </row>
    <row r="14" spans="1:12" ht="15.75">
      <c r="A14" s="190"/>
      <c r="B14" s="193" t="s">
        <v>1005</v>
      </c>
      <c r="H14" s="186">
        <v>1200</v>
      </c>
      <c r="I14" s="186">
        <v>1200</v>
      </c>
      <c r="J14" s="187">
        <v>800</v>
      </c>
      <c r="K14" s="187">
        <v>800</v>
      </c>
    </row>
    <row r="15" spans="1:12" ht="15.75">
      <c r="A15" s="190"/>
      <c r="B15" s="193" t="s">
        <v>323</v>
      </c>
      <c r="H15" s="186">
        <f>9910</f>
        <v>9910</v>
      </c>
      <c r="I15" s="186">
        <f>9910-20</f>
        <v>9890</v>
      </c>
      <c r="J15" s="187">
        <f>8726-800</f>
        <v>7926</v>
      </c>
      <c r="K15" s="187">
        <f>8726-15-800</f>
        <v>7911</v>
      </c>
    </row>
    <row r="16" spans="1:12" ht="16.5" thickBot="1">
      <c r="A16" s="190"/>
      <c r="B16" s="193" t="s">
        <v>64</v>
      </c>
      <c r="H16" s="194">
        <f>SUM(H12:H15)</f>
        <v>92941</v>
      </c>
      <c r="I16" s="194">
        <f>SUM(I12:I15)</f>
        <v>92657</v>
      </c>
      <c r="J16" s="195">
        <f>SUM(J12:J15)</f>
        <v>87707</v>
      </c>
      <c r="K16" s="196">
        <f>SUM(K12:K15)</f>
        <v>87512</v>
      </c>
    </row>
    <row r="17" spans="2:11" ht="15.75" thickTop="1"/>
    <row r="19" spans="2:11" ht="15.75">
      <c r="B19" s="190" t="s">
        <v>324</v>
      </c>
      <c r="J19" s="186" t="s">
        <v>325</v>
      </c>
      <c r="K19" s="187" t="s">
        <v>325</v>
      </c>
    </row>
    <row r="20" spans="2:11" ht="15.75">
      <c r="B20" s="190" t="s">
        <v>326</v>
      </c>
      <c r="J20" s="186">
        <v>158300</v>
      </c>
      <c r="K20" s="187">
        <v>155400</v>
      </c>
    </row>
    <row r="21" spans="2:11" ht="15.75">
      <c r="B21" s="190" t="s">
        <v>327</v>
      </c>
      <c r="J21" s="186">
        <v>1500</v>
      </c>
      <c r="K21" s="187">
        <v>950</v>
      </c>
    </row>
    <row r="22" spans="2:11" ht="15.75">
      <c r="B22" s="190" t="s">
        <v>328</v>
      </c>
      <c r="J22" s="186">
        <v>22950</v>
      </c>
      <c r="K22" s="187">
        <v>21570</v>
      </c>
    </row>
    <row r="23" spans="2:11" ht="16.5" thickBot="1">
      <c r="J23" s="194">
        <f>SUM(J20:J22)</f>
        <v>182750</v>
      </c>
      <c r="K23" s="195">
        <f>SUM(K20:K22)</f>
        <v>177920</v>
      </c>
    </row>
    <row r="24" spans="2:11" ht="15.75" thickTop="1"/>
    <row r="25" spans="2:11" ht="15.75">
      <c r="B25" s="190" t="s">
        <v>329</v>
      </c>
    </row>
    <row r="26" spans="2:11" ht="15.75">
      <c r="B26" s="190" t="s">
        <v>330</v>
      </c>
    </row>
    <row r="27" spans="2:11" ht="15.75">
      <c r="B27" s="190"/>
      <c r="J27" s="186" t="s">
        <v>331</v>
      </c>
      <c r="K27" s="187" t="s">
        <v>331</v>
      </c>
    </row>
    <row r="28" spans="2:11" ht="15.75">
      <c r="C28" s="190" t="s">
        <v>332</v>
      </c>
      <c r="J28" s="186">
        <v>3</v>
      </c>
      <c r="K28" s="187">
        <v>3</v>
      </c>
    </row>
    <row r="29" spans="2:11" ht="15.75">
      <c r="C29" s="197" t="s">
        <v>333</v>
      </c>
      <c r="J29" s="186">
        <v>1</v>
      </c>
      <c r="K29" s="198">
        <v>1</v>
      </c>
    </row>
    <row r="30" spans="2:11" ht="15.75">
      <c r="C30" s="197" t="s">
        <v>334</v>
      </c>
      <c r="J30" s="186">
        <v>1</v>
      </c>
      <c r="K30" s="198">
        <v>1</v>
      </c>
    </row>
    <row r="31" spans="2:11" ht="15.75">
      <c r="C31" s="190" t="s">
        <v>335</v>
      </c>
      <c r="J31" s="186">
        <v>4</v>
      </c>
      <c r="K31" s="187">
        <v>2</v>
      </c>
    </row>
    <row r="32" spans="2:11" ht="15.75">
      <c r="C32" s="197" t="s">
        <v>336</v>
      </c>
      <c r="J32" s="186">
        <v>1</v>
      </c>
      <c r="K32" s="165">
        <v>0</v>
      </c>
    </row>
    <row r="33" spans="2:11" ht="16.5" thickBot="1">
      <c r="J33" s="194">
        <f>SUM(J28:J32)</f>
        <v>10</v>
      </c>
      <c r="K33" s="196">
        <f>SUM(K28:K32)</f>
        <v>7</v>
      </c>
    </row>
    <row r="34" spans="2:11" ht="15.75" thickTop="1"/>
    <row r="35" spans="2:11" ht="15.75">
      <c r="B35" s="190" t="s">
        <v>337</v>
      </c>
      <c r="J35" s="186" t="s">
        <v>331</v>
      </c>
      <c r="K35" s="187" t="s">
        <v>331</v>
      </c>
    </row>
    <row r="36" spans="2:11" ht="15.75">
      <c r="B36" s="193" t="s">
        <v>338</v>
      </c>
      <c r="J36" s="199">
        <v>616</v>
      </c>
      <c r="K36" s="198">
        <v>566</v>
      </c>
    </row>
    <row r="37" spans="2:11" ht="15.75">
      <c r="B37" s="193" t="s">
        <v>339</v>
      </c>
      <c r="J37" s="199">
        <v>359</v>
      </c>
      <c r="K37" s="198">
        <v>330</v>
      </c>
    </row>
    <row r="38" spans="2:11" ht="15.75">
      <c r="B38" s="193" t="s">
        <v>340</v>
      </c>
      <c r="J38" s="199">
        <v>362</v>
      </c>
      <c r="K38" s="198">
        <v>392</v>
      </c>
    </row>
    <row r="39" spans="2:11" ht="15.75">
      <c r="B39" s="193" t="s">
        <v>341</v>
      </c>
      <c r="J39" s="199">
        <v>185</v>
      </c>
      <c r="K39" s="198">
        <v>180</v>
      </c>
    </row>
    <row r="40" spans="2:11" ht="15.75">
      <c r="B40" s="193" t="s">
        <v>342</v>
      </c>
      <c r="J40" s="199">
        <v>1068</v>
      </c>
      <c r="K40" s="198">
        <v>1040</v>
      </c>
    </row>
    <row r="41" spans="2:11" ht="16.5" thickBot="1">
      <c r="J41" s="200">
        <f>SUM(J36:J40)</f>
        <v>2590</v>
      </c>
      <c r="K41" s="201">
        <f>SUM(K36:K40)</f>
        <v>2508</v>
      </c>
    </row>
    <row r="42" spans="2:11" ht="15.75" thickTop="1"/>
    <row r="44" spans="2:11" ht="15.75">
      <c r="B44" s="190" t="s">
        <v>343</v>
      </c>
    </row>
    <row r="45" spans="2:11" ht="15.75">
      <c r="B45" s="190"/>
    </row>
    <row r="46" spans="2:11" ht="15.75">
      <c r="J46" s="186" t="s">
        <v>128</v>
      </c>
      <c r="K46" s="186" t="s">
        <v>128</v>
      </c>
    </row>
    <row r="47" spans="2:11" ht="15.75">
      <c r="B47" s="190" t="s">
        <v>1006</v>
      </c>
      <c r="J47" s="202">
        <v>15</v>
      </c>
      <c r="K47" s="166">
        <v>0</v>
      </c>
    </row>
    <row r="48" spans="2:11" ht="15.75">
      <c r="B48" s="190"/>
      <c r="J48" s="186"/>
      <c r="K48" s="165"/>
    </row>
    <row r="50" spans="2:11" ht="15.75">
      <c r="B50" s="203" t="s">
        <v>344</v>
      </c>
    </row>
    <row r="52" spans="2:11" ht="17.25" customHeight="1">
      <c r="B52" s="204" t="s">
        <v>345</v>
      </c>
    </row>
    <row r="53" spans="2:11" ht="15.75">
      <c r="B53" s="205" t="s">
        <v>1007</v>
      </c>
    </row>
    <row r="54" spans="2:11" ht="15.75">
      <c r="B54" s="206" t="s">
        <v>346</v>
      </c>
    </row>
    <row r="55" spans="2:11" ht="15.75">
      <c r="B55" s="206" t="s">
        <v>1213</v>
      </c>
    </row>
    <row r="56" spans="2:11">
      <c r="B56" s="207"/>
    </row>
    <row r="58" spans="2:11" ht="15.75">
      <c r="J58" s="187" t="s">
        <v>317</v>
      </c>
      <c r="K58" s="187" t="s">
        <v>317</v>
      </c>
    </row>
    <row r="59" spans="2:11" ht="30.75">
      <c r="J59" s="208" t="s">
        <v>18</v>
      </c>
      <c r="K59" s="208" t="s">
        <v>19</v>
      </c>
    </row>
    <row r="60" spans="2:11" ht="15.75">
      <c r="J60" s="187" t="s">
        <v>128</v>
      </c>
      <c r="K60" s="187" t="s">
        <v>128</v>
      </c>
    </row>
    <row r="61" spans="2:11" ht="15.75">
      <c r="J61" s="186"/>
      <c r="K61" s="190"/>
    </row>
    <row r="62" spans="2:11" ht="15.75">
      <c r="B62" s="209" t="s">
        <v>1008</v>
      </c>
      <c r="J62" s="191">
        <v>1486</v>
      </c>
      <c r="K62" s="198">
        <v>1248</v>
      </c>
    </row>
  </sheetData>
  <mergeCells count="4">
    <mergeCell ref="H5:I5"/>
    <mergeCell ref="J5:K5"/>
    <mergeCell ref="H6:I6"/>
    <mergeCell ref="J6:K6"/>
  </mergeCells>
  <pageMargins left="0.70866141732283472" right="0.70866141732283472" top="0.74803149606299213" bottom="0.74803149606299213" header="0.31496062992125984" footer="0.31496062992125984"/>
  <pageSetup paperSize="9" scale="70" orientation="portrait" horizontalDpi="1200" verticalDpi="1200"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zoomScale="60" zoomScaleNormal="100" workbookViewId="0">
      <selection activeCell="B9" sqref="B9"/>
    </sheetView>
  </sheetViews>
  <sheetFormatPr defaultRowHeight="15"/>
  <cols>
    <col min="1" max="1" width="3.7109375" customWidth="1"/>
    <col min="4" max="4" width="14.5703125" customWidth="1"/>
    <col min="5" max="5" width="19.5703125" customWidth="1"/>
    <col min="7" max="7" width="16.5703125" customWidth="1"/>
  </cols>
  <sheetData>
    <row r="1" spans="1:20" ht="23.25">
      <c r="A1" s="3" t="s">
        <v>298</v>
      </c>
      <c r="B1" s="3"/>
      <c r="C1" s="3"/>
      <c r="D1" s="3"/>
      <c r="E1" s="3"/>
      <c r="F1" s="3"/>
      <c r="G1" s="3"/>
      <c r="H1" s="3"/>
      <c r="I1" s="3"/>
      <c r="J1" s="3"/>
      <c r="K1" s="3"/>
      <c r="L1" s="3"/>
    </row>
    <row r="2" spans="1:20" ht="18">
      <c r="A2" s="4" t="s">
        <v>129</v>
      </c>
      <c r="B2" s="4"/>
      <c r="C2" s="4"/>
      <c r="D2" s="4"/>
      <c r="E2" s="4"/>
      <c r="F2" s="4"/>
      <c r="G2" s="4"/>
      <c r="H2" s="4"/>
      <c r="I2" s="4"/>
      <c r="J2" s="4"/>
      <c r="K2" s="4"/>
      <c r="L2" s="4"/>
    </row>
    <row r="3" spans="1:20" ht="15.75" thickBot="1">
      <c r="A3" s="5"/>
      <c r="B3" s="2"/>
      <c r="C3" s="2"/>
      <c r="D3" s="2"/>
      <c r="E3" s="2"/>
      <c r="F3" s="2"/>
      <c r="G3" s="2"/>
      <c r="H3" s="2"/>
      <c r="I3" s="2"/>
      <c r="J3" s="2"/>
      <c r="K3" s="2"/>
      <c r="L3" s="2"/>
      <c r="M3" s="2"/>
    </row>
    <row r="4" spans="1:20">
      <c r="A4" s="711"/>
      <c r="B4" s="712"/>
      <c r="C4" s="712"/>
      <c r="D4" s="712"/>
      <c r="E4" s="712"/>
      <c r="F4" s="712"/>
      <c r="G4" s="712"/>
      <c r="H4" s="712"/>
      <c r="I4" s="712"/>
      <c r="J4" s="712"/>
      <c r="K4" s="712"/>
      <c r="L4" s="712"/>
      <c r="M4" s="712"/>
    </row>
    <row r="5" spans="1:20" ht="15.75">
      <c r="A5" s="188">
        <v>7</v>
      </c>
      <c r="B5" s="189" t="s">
        <v>988</v>
      </c>
      <c r="C5" s="712"/>
      <c r="D5" s="712"/>
      <c r="E5" s="712"/>
      <c r="F5" s="712"/>
      <c r="G5" s="712"/>
      <c r="H5" s="712"/>
      <c r="I5" s="712"/>
      <c r="J5" s="712"/>
      <c r="K5" s="712"/>
      <c r="L5" s="712"/>
      <c r="M5" s="712"/>
    </row>
    <row r="7" spans="1:20" ht="15.75">
      <c r="A7" s="203" t="s">
        <v>347</v>
      </c>
    </row>
    <row r="9" spans="1:20" ht="15" customHeight="1">
      <c r="A9" s="44" t="s">
        <v>348</v>
      </c>
      <c r="C9" s="210"/>
      <c r="D9" s="210"/>
      <c r="E9" s="210"/>
      <c r="F9" s="210"/>
      <c r="G9" s="210"/>
      <c r="H9" s="210"/>
      <c r="I9" s="210"/>
      <c r="J9" s="210"/>
      <c r="K9" s="210"/>
      <c r="L9" s="210"/>
      <c r="M9" s="210"/>
      <c r="N9" s="210"/>
      <c r="O9" s="210"/>
      <c r="P9" s="210"/>
      <c r="Q9" s="210"/>
      <c r="R9" s="210"/>
      <c r="S9" s="210"/>
      <c r="T9" s="210"/>
    </row>
    <row r="10" spans="1:20" ht="15.75">
      <c r="A10" s="44" t="s">
        <v>349</v>
      </c>
    </row>
    <row r="11" spans="1:20" ht="15.75">
      <c r="A11" s="44" t="s">
        <v>350</v>
      </c>
    </row>
    <row r="12" spans="1:20" ht="15.75">
      <c r="A12" s="44" t="s">
        <v>351</v>
      </c>
    </row>
    <row r="13" spans="1:20" ht="15.75">
      <c r="A13" s="44" t="s">
        <v>352</v>
      </c>
    </row>
    <row r="14" spans="1:20" ht="15.75">
      <c r="A14" s="44" t="s">
        <v>353</v>
      </c>
    </row>
    <row r="15" spans="1:20" ht="15.75">
      <c r="A15" s="44"/>
    </row>
    <row r="18" spans="1:1" ht="15.75">
      <c r="A18" s="192" t="s">
        <v>354</v>
      </c>
    </row>
    <row r="20" spans="1:1" ht="15.75">
      <c r="A20" s="192" t="s">
        <v>355</v>
      </c>
    </row>
    <row r="21" spans="1:1" ht="15.75">
      <c r="A21" s="211"/>
    </row>
    <row r="22" spans="1:1" ht="15.75">
      <c r="A22" s="192" t="s">
        <v>356</v>
      </c>
    </row>
    <row r="25" spans="1:1" ht="15.75">
      <c r="A25" s="192" t="s">
        <v>357</v>
      </c>
    </row>
    <row r="26" spans="1:1" ht="15.75">
      <c r="A26" s="192" t="s">
        <v>358</v>
      </c>
    </row>
  </sheetData>
  <pageMargins left="0.70866141732283472" right="0.70866141732283472" top="0.74803149606299213" bottom="0.74803149606299213" header="0.31496062992125984" footer="0.31496062992125984"/>
  <pageSetup paperSize="9" scale="64" orientation="portrait" horizontalDpi="1200" verticalDpi="1200" r:id="rId1"/>
  <headerFooter>
    <oddFooter>Page &amp;P of &amp;N</oddFooter>
  </headerFooter>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view="pageBreakPreview" topLeftCell="A25" zoomScale="70" zoomScaleNormal="100" zoomScaleSheetLayoutView="70" zoomScalePageLayoutView="70" workbookViewId="0">
      <selection activeCell="C52" sqref="C52"/>
    </sheetView>
  </sheetViews>
  <sheetFormatPr defaultColWidth="11.42578125" defaultRowHeight="12.75"/>
  <cols>
    <col min="1" max="1" width="3.85546875" style="76" customWidth="1"/>
    <col min="2" max="2" width="66.7109375" style="76" customWidth="1"/>
    <col min="3" max="3" width="20.5703125" style="76" customWidth="1"/>
    <col min="4" max="4" width="7.140625" style="76" customWidth="1"/>
    <col min="5" max="5" width="17" style="81" customWidth="1"/>
    <col min="6" max="6" width="12.5703125" style="81" customWidth="1"/>
    <col min="7" max="7" width="14" style="76" customWidth="1"/>
    <col min="8" max="8" width="13" style="76" customWidth="1"/>
    <col min="9" max="9" width="6.42578125" style="76" customWidth="1"/>
    <col min="10" max="10" width="1.7109375" style="76" customWidth="1"/>
    <col min="11" max="11" width="4.85546875" style="76" customWidth="1"/>
    <col min="12" max="12" width="1.28515625" style="76" customWidth="1"/>
    <col min="13" max="13" width="5" style="76" customWidth="1"/>
    <col min="14" max="14" width="0.85546875" style="76" customWidth="1"/>
    <col min="15" max="15" width="5" style="76" customWidth="1"/>
    <col min="16" max="16" width="0.7109375" style="76" customWidth="1"/>
    <col min="17" max="17" width="5.140625" style="76" customWidth="1"/>
    <col min="18" max="16384" width="11.42578125" style="76"/>
  </cols>
  <sheetData>
    <row r="1" spans="1:8" s="67" customFormat="1" ht="30" customHeight="1">
      <c r="A1" s="67" t="s">
        <v>298</v>
      </c>
      <c r="E1" s="68"/>
      <c r="F1" s="68"/>
      <c r="G1" s="69"/>
    </row>
    <row r="2" spans="1:8" s="70" customFormat="1" ht="19.5" customHeight="1">
      <c r="A2" s="70" t="s">
        <v>129</v>
      </c>
      <c r="E2" s="71"/>
      <c r="F2" s="71"/>
      <c r="G2" s="72"/>
    </row>
    <row r="3" spans="1:8" ht="15" customHeight="1" thickBot="1">
      <c r="A3" s="73"/>
      <c r="B3" s="74"/>
      <c r="C3" s="74"/>
      <c r="D3" s="74"/>
      <c r="E3" s="75"/>
      <c r="F3" s="75"/>
      <c r="G3" s="73"/>
      <c r="H3" s="73"/>
    </row>
    <row r="4" spans="1:8" s="65" customFormat="1" ht="9" customHeight="1">
      <c r="E4" s="77"/>
      <c r="F4" s="77"/>
      <c r="G4" s="78"/>
    </row>
    <row r="5" spans="1:8" s="105" customFormat="1" ht="15" customHeight="1">
      <c r="E5" s="814" t="s">
        <v>52</v>
      </c>
      <c r="F5" s="814"/>
      <c r="G5" s="815" t="s">
        <v>299</v>
      </c>
      <c r="H5" s="815"/>
    </row>
    <row r="6" spans="1:8" s="105" customFormat="1" ht="15" customHeight="1">
      <c r="D6" s="110" t="s">
        <v>20</v>
      </c>
      <c r="E6" s="111" t="s">
        <v>21</v>
      </c>
      <c r="F6" s="111" t="s">
        <v>22</v>
      </c>
      <c r="G6" s="112" t="s">
        <v>21</v>
      </c>
      <c r="H6" s="112" t="s">
        <v>22</v>
      </c>
    </row>
    <row r="7" spans="1:8" s="105" customFormat="1" ht="15" customHeight="1">
      <c r="A7" s="107"/>
      <c r="B7" s="107"/>
      <c r="C7" s="107"/>
      <c r="D7" s="107"/>
      <c r="E7" s="109" t="s">
        <v>23</v>
      </c>
      <c r="F7" s="109" t="s">
        <v>23</v>
      </c>
      <c r="G7" s="113" t="s">
        <v>23</v>
      </c>
      <c r="H7" s="113" t="s">
        <v>23</v>
      </c>
    </row>
    <row r="8" spans="1:8" s="105" customFormat="1" ht="15" customHeight="1">
      <c r="A8" s="114">
        <v>8</v>
      </c>
      <c r="B8" s="104" t="s">
        <v>30</v>
      </c>
      <c r="C8" s="104"/>
      <c r="E8" s="108"/>
      <c r="F8" s="108"/>
    </row>
    <row r="9" spans="1:8" s="105" customFormat="1" ht="15" customHeight="1">
      <c r="A9" s="114"/>
      <c r="B9" s="104"/>
      <c r="C9" s="104"/>
      <c r="E9" s="108"/>
      <c r="F9" s="108"/>
      <c r="G9" s="107"/>
      <c r="H9" s="107"/>
    </row>
    <row r="10" spans="1:8" s="105" customFormat="1" ht="15" customHeight="1">
      <c r="B10" s="105" t="s">
        <v>1009</v>
      </c>
      <c r="E10" s="108">
        <f>2217</f>
        <v>2217</v>
      </c>
      <c r="F10" s="108">
        <f>2217</f>
        <v>2217</v>
      </c>
      <c r="G10" s="107">
        <v>2972</v>
      </c>
      <c r="H10" s="107">
        <v>2972</v>
      </c>
    </row>
    <row r="11" spans="1:8" s="105" customFormat="1" ht="15" customHeight="1">
      <c r="B11" s="105" t="s">
        <v>1122</v>
      </c>
      <c r="D11" s="105">
        <v>14</v>
      </c>
      <c r="E11" s="108">
        <v>240</v>
      </c>
      <c r="F11" s="108">
        <v>240</v>
      </c>
      <c r="G11" s="107">
        <f>14+264</f>
        <v>278</v>
      </c>
      <c r="H11" s="107">
        <f>14+264</f>
        <v>278</v>
      </c>
    </row>
    <row r="12" spans="1:8" s="105" customFormat="1" ht="15" customHeight="1">
      <c r="B12" s="105" t="s">
        <v>359</v>
      </c>
      <c r="E12" s="108">
        <v>4</v>
      </c>
      <c r="F12" s="108">
        <v>4</v>
      </c>
      <c r="G12" s="165">
        <v>0</v>
      </c>
      <c r="H12" s="165">
        <v>0</v>
      </c>
    </row>
    <row r="13" spans="1:8" s="105" customFormat="1" ht="15" customHeight="1">
      <c r="B13" s="97" t="s">
        <v>360</v>
      </c>
      <c r="E13" s="108">
        <v>69</v>
      </c>
      <c r="F13" s="108">
        <v>69</v>
      </c>
      <c r="G13" s="165">
        <v>0</v>
      </c>
      <c r="H13" s="165">
        <v>0</v>
      </c>
    </row>
    <row r="14" spans="1:8" s="105" customFormat="1" ht="15" customHeight="1">
      <c r="B14" s="105" t="s">
        <v>361</v>
      </c>
      <c r="D14" s="105">
        <v>34</v>
      </c>
      <c r="E14" s="165">
        <v>0</v>
      </c>
      <c r="F14" s="165">
        <v>0</v>
      </c>
      <c r="G14" s="107">
        <v>264</v>
      </c>
      <c r="H14" s="107">
        <v>264</v>
      </c>
    </row>
    <row r="15" spans="1:8" s="105" customFormat="1" ht="15" customHeight="1" thickBot="1">
      <c r="D15" s="105" t="s">
        <v>362</v>
      </c>
      <c r="E15" s="695">
        <f>SUM(E10:E14)</f>
        <v>2530</v>
      </c>
      <c r="F15" s="695">
        <f>SUM(F10:F14)</f>
        <v>2530</v>
      </c>
      <c r="G15" s="696">
        <f>SUM(G10:G14)</f>
        <v>3514</v>
      </c>
      <c r="H15" s="696">
        <f>SUM(H10:H14)</f>
        <v>3514</v>
      </c>
    </row>
    <row r="16" spans="1:8" s="105" customFormat="1" ht="15" customHeight="1" thickTop="1">
      <c r="E16" s="108"/>
      <c r="F16" s="108"/>
      <c r="G16" s="107"/>
      <c r="H16" s="107"/>
    </row>
    <row r="17" spans="1:12" s="105" customFormat="1" ht="15" customHeight="1">
      <c r="E17" s="108"/>
      <c r="F17" s="108"/>
      <c r="G17" s="107"/>
      <c r="H17" s="107"/>
    </row>
    <row r="18" spans="1:12" s="105" customFormat="1" ht="15" customHeight="1">
      <c r="E18" s="108"/>
      <c r="F18" s="108"/>
      <c r="G18" s="107"/>
      <c r="H18" s="107"/>
    </row>
    <row r="19" spans="1:12" s="105" customFormat="1" ht="15.75">
      <c r="E19" s="108"/>
      <c r="F19" s="108"/>
      <c r="G19" s="107"/>
      <c r="H19" s="107"/>
    </row>
    <row r="20" spans="1:12" s="105" customFormat="1" ht="15" customHeight="1">
      <c r="A20" s="114">
        <v>9</v>
      </c>
      <c r="B20" s="104" t="s">
        <v>363</v>
      </c>
      <c r="C20" s="104"/>
      <c r="E20" s="117"/>
      <c r="F20" s="117"/>
      <c r="H20" s="107"/>
    </row>
    <row r="21" spans="1:12" s="105" customFormat="1" ht="15" customHeight="1">
      <c r="D21" s="118"/>
      <c r="E21" s="114"/>
      <c r="F21" s="114"/>
      <c r="G21" s="118"/>
      <c r="H21" s="107"/>
    </row>
    <row r="22" spans="1:12" s="105" customFormat="1" ht="15" customHeight="1">
      <c r="B22" s="107" t="s">
        <v>364</v>
      </c>
      <c r="C22" s="107"/>
      <c r="D22" s="113"/>
      <c r="E22" s="108">
        <v>79622</v>
      </c>
      <c r="F22" s="108">
        <v>79622</v>
      </c>
      <c r="G22" s="107">
        <v>69904</v>
      </c>
      <c r="H22" s="107">
        <v>69904</v>
      </c>
    </row>
    <row r="23" spans="1:12" s="105" customFormat="1" ht="15" customHeight="1">
      <c r="A23" s="119"/>
      <c r="B23" s="105" t="s">
        <v>365</v>
      </c>
      <c r="D23" s="113"/>
      <c r="E23" s="108">
        <v>17938</v>
      </c>
      <c r="F23" s="108">
        <v>17938</v>
      </c>
      <c r="G23" s="107">
        <v>15416</v>
      </c>
      <c r="H23" s="107">
        <v>15416</v>
      </c>
    </row>
    <row r="24" spans="1:12" s="105" customFormat="1" ht="15" customHeight="1">
      <c r="A24" s="119"/>
      <c r="B24" s="105" t="s">
        <v>366</v>
      </c>
      <c r="D24" s="113"/>
      <c r="E24" s="108">
        <f>14679+250+300+240-758</f>
        <v>14711</v>
      </c>
      <c r="F24" s="108">
        <f>14679+250+300+240-758</f>
        <v>14711</v>
      </c>
      <c r="G24" s="107">
        <f>14430+250+264</f>
        <v>14944</v>
      </c>
      <c r="H24" s="107">
        <f>14430+250+264</f>
        <v>14944</v>
      </c>
    </row>
    <row r="25" spans="1:12" s="105" customFormat="1" ht="15" customHeight="1">
      <c r="A25" s="119"/>
      <c r="B25" s="105" t="s">
        <v>312</v>
      </c>
      <c r="D25" s="113"/>
      <c r="E25" s="108">
        <v>20401</v>
      </c>
      <c r="F25" s="108">
        <v>16595</v>
      </c>
      <c r="G25" s="107">
        <v>19140</v>
      </c>
      <c r="H25" s="107">
        <v>14374</v>
      </c>
    </row>
    <row r="26" spans="1:12" s="105" customFormat="1" ht="15" customHeight="1">
      <c r="A26" s="119"/>
      <c r="B26" s="105" t="s">
        <v>14</v>
      </c>
      <c r="D26" s="113"/>
      <c r="E26" s="108">
        <v>25457</v>
      </c>
      <c r="F26" s="108">
        <v>25457</v>
      </c>
      <c r="G26" s="107">
        <v>24162</v>
      </c>
      <c r="H26" s="107">
        <v>24162</v>
      </c>
    </row>
    <row r="27" spans="1:12" s="105" customFormat="1" ht="15" customHeight="1">
      <c r="A27" s="119"/>
      <c r="B27" s="105" t="s">
        <v>367</v>
      </c>
      <c r="D27" s="107"/>
      <c r="E27" s="108">
        <f>7161+73+758</f>
        <v>7992</v>
      </c>
      <c r="F27" s="108">
        <f>6329</f>
        <v>6329</v>
      </c>
      <c r="G27" s="107">
        <v>8287</v>
      </c>
      <c r="H27" s="107">
        <v>8168</v>
      </c>
    </row>
    <row r="28" spans="1:12" s="105" customFormat="1" ht="15" customHeight="1" thickBot="1">
      <c r="D28" s="113"/>
      <c r="E28" s="115">
        <f>SUM(E22:E27)</f>
        <v>166121</v>
      </c>
      <c r="F28" s="115">
        <f>SUM(F22:F27)</f>
        <v>160652</v>
      </c>
      <c r="G28" s="116">
        <f>SUM(G22:G27)</f>
        <v>151853</v>
      </c>
      <c r="H28" s="116">
        <f>SUM(H22:H27)</f>
        <v>146968</v>
      </c>
    </row>
    <row r="29" spans="1:12" s="105" customFormat="1" ht="7.5" customHeight="1" thickTop="1">
      <c r="D29" s="107"/>
      <c r="E29" s="108"/>
      <c r="F29" s="108"/>
      <c r="G29" s="107"/>
      <c r="H29" s="107"/>
      <c r="I29" s="107"/>
    </row>
    <row r="30" spans="1:12" s="105" customFormat="1" ht="15" customHeight="1">
      <c r="B30" s="105" t="s">
        <v>368</v>
      </c>
      <c r="E30" s="117"/>
      <c r="F30" s="117"/>
      <c r="H30" s="107"/>
      <c r="I30" s="107"/>
      <c r="L30" s="107"/>
    </row>
    <row r="31" spans="1:12" s="105" customFormat="1" ht="15" customHeight="1">
      <c r="B31" s="105" t="s">
        <v>369</v>
      </c>
      <c r="E31" s="108">
        <v>62</v>
      </c>
      <c r="F31" s="108"/>
      <c r="G31" s="107">
        <v>58</v>
      </c>
      <c r="H31" s="107"/>
      <c r="I31" s="107"/>
    </row>
    <row r="32" spans="1:12" s="105" customFormat="1" ht="15" customHeight="1">
      <c r="B32" s="105" t="s">
        <v>370</v>
      </c>
      <c r="E32" s="108">
        <v>5</v>
      </c>
      <c r="F32" s="108"/>
      <c r="G32" s="107">
        <v>9</v>
      </c>
      <c r="H32" s="107"/>
      <c r="I32" s="107"/>
    </row>
    <row r="33" spans="1:9" s="105" customFormat="1" ht="15" customHeight="1">
      <c r="B33" s="105" t="s">
        <v>371</v>
      </c>
      <c r="E33" s="108"/>
      <c r="F33" s="108"/>
      <c r="G33" s="107"/>
      <c r="H33" s="107"/>
      <c r="I33" s="107"/>
    </row>
    <row r="34" spans="1:9" s="105" customFormat="1" ht="15" customHeight="1">
      <c r="B34" s="110" t="s">
        <v>372</v>
      </c>
      <c r="E34" s="108">
        <v>55</v>
      </c>
      <c r="F34" s="108"/>
      <c r="G34" s="107">
        <v>50</v>
      </c>
      <c r="H34" s="107"/>
      <c r="I34" s="107"/>
    </row>
    <row r="35" spans="1:9" s="105" customFormat="1" ht="15" customHeight="1">
      <c r="B35" s="110" t="s">
        <v>342</v>
      </c>
      <c r="E35" s="108">
        <v>371</v>
      </c>
      <c r="F35" s="108"/>
      <c r="G35" s="107">
        <v>292</v>
      </c>
      <c r="H35" s="107"/>
      <c r="I35" s="107"/>
    </row>
    <row r="36" spans="1:9" s="105" customFormat="1" ht="15" customHeight="1">
      <c r="B36" s="105" t="s">
        <v>27</v>
      </c>
      <c r="E36" s="108">
        <v>2888</v>
      </c>
      <c r="F36" s="108"/>
      <c r="G36" s="165">
        <v>0</v>
      </c>
      <c r="H36" s="107"/>
      <c r="I36" s="107"/>
    </row>
    <row r="37" spans="1:9" s="105" customFormat="1" ht="15" customHeight="1">
      <c r="E37" s="108"/>
      <c r="F37" s="108"/>
      <c r="G37" s="165"/>
      <c r="H37" s="107"/>
      <c r="I37" s="107"/>
    </row>
    <row r="38" spans="1:9" s="105" customFormat="1" ht="15" customHeight="1">
      <c r="E38" s="108"/>
      <c r="F38" s="108"/>
      <c r="G38" s="165"/>
      <c r="H38" s="107"/>
      <c r="I38" s="107"/>
    </row>
    <row r="39" spans="1:9" s="105" customFormat="1" ht="21" customHeight="1">
      <c r="E39" s="108"/>
      <c r="F39" s="108"/>
      <c r="G39" s="108"/>
      <c r="H39" s="107"/>
      <c r="I39" s="107"/>
    </row>
    <row r="40" spans="1:9" s="105" customFormat="1" ht="15" customHeight="1">
      <c r="A40" s="114">
        <v>10</v>
      </c>
      <c r="B40" s="104" t="s">
        <v>38</v>
      </c>
      <c r="E40" s="108"/>
      <c r="F40" s="108"/>
      <c r="G40" s="107"/>
      <c r="H40" s="107"/>
      <c r="I40" s="107"/>
    </row>
    <row r="41" spans="1:9" s="105" customFormat="1" ht="15" customHeight="1">
      <c r="A41" s="114"/>
      <c r="B41" s="104"/>
      <c r="E41" s="108"/>
      <c r="F41" s="108"/>
      <c r="G41" s="107"/>
      <c r="H41" s="107"/>
      <c r="I41" s="107"/>
    </row>
    <row r="42" spans="1:9" s="105" customFormat="1" ht="15" customHeight="1">
      <c r="A42" s="114"/>
      <c r="B42" s="104" t="s">
        <v>373</v>
      </c>
      <c r="E42" s="108"/>
      <c r="F42" s="108"/>
      <c r="G42" s="107"/>
      <c r="H42" s="107"/>
      <c r="I42" s="107"/>
    </row>
    <row r="43" spans="1:9" s="105" customFormat="1" ht="15" customHeight="1">
      <c r="A43" s="114"/>
      <c r="B43" s="104" t="s">
        <v>374</v>
      </c>
      <c r="E43" s="108"/>
      <c r="F43" s="108"/>
      <c r="G43" s="107"/>
      <c r="H43" s="107"/>
      <c r="I43" s="107"/>
    </row>
    <row r="44" spans="1:9" s="105" customFormat="1" ht="15" customHeight="1">
      <c r="A44" s="114"/>
      <c r="B44" s="105" t="s">
        <v>375</v>
      </c>
      <c r="E44" s="108">
        <v>207</v>
      </c>
      <c r="F44" s="108"/>
      <c r="G44" s="107">
        <v>41</v>
      </c>
      <c r="H44" s="107"/>
      <c r="I44" s="107"/>
    </row>
    <row r="45" spans="1:9" s="105" customFormat="1" ht="15" customHeight="1">
      <c r="A45" s="114"/>
      <c r="B45" s="105" t="s">
        <v>1128</v>
      </c>
      <c r="E45" s="108">
        <v>2</v>
      </c>
      <c r="F45" s="108"/>
      <c r="G45" s="107">
        <v>0</v>
      </c>
      <c r="H45" s="107"/>
      <c r="I45" s="107"/>
    </row>
    <row r="46" spans="1:9" s="105" customFormat="1" ht="15" customHeight="1">
      <c r="A46" s="114"/>
      <c r="B46" s="104" t="s">
        <v>375</v>
      </c>
      <c r="E46" s="120">
        <f>SUM(E44:E45)</f>
        <v>209</v>
      </c>
      <c r="F46" s="108"/>
      <c r="G46" s="120">
        <f>SUM(G44:G45)</f>
        <v>41</v>
      </c>
      <c r="H46" s="107"/>
      <c r="I46" s="107"/>
    </row>
    <row r="47" spans="1:9" s="105" customFormat="1" ht="15" customHeight="1">
      <c r="A47" s="114"/>
      <c r="B47" s="104"/>
      <c r="E47" s="108"/>
      <c r="F47" s="108"/>
      <c r="G47" s="107"/>
      <c r="H47" s="107"/>
      <c r="I47" s="107"/>
    </row>
    <row r="48" spans="1:9" s="105" customFormat="1" ht="15" customHeight="1">
      <c r="B48" s="104" t="s">
        <v>377</v>
      </c>
      <c r="E48" s="108"/>
      <c r="F48" s="108"/>
      <c r="G48" s="107"/>
      <c r="H48" s="107"/>
      <c r="I48" s="107"/>
    </row>
    <row r="49" spans="1:9" s="105" customFormat="1" ht="15" customHeight="1">
      <c r="B49" s="105" t="s">
        <v>378</v>
      </c>
      <c r="E49" s="108">
        <v>0</v>
      </c>
      <c r="F49" s="108"/>
      <c r="G49" s="107">
        <v>5</v>
      </c>
      <c r="H49" s="107"/>
      <c r="I49" s="107"/>
    </row>
    <row r="50" spans="1:9" s="105" customFormat="1" ht="15" customHeight="1">
      <c r="B50" s="105" t="s">
        <v>379</v>
      </c>
      <c r="E50" s="108">
        <v>0</v>
      </c>
      <c r="F50" s="108"/>
      <c r="G50" s="107">
        <v>0</v>
      </c>
      <c r="H50" s="107"/>
      <c r="I50" s="107"/>
    </row>
    <row r="51" spans="1:9" s="105" customFormat="1" ht="15" customHeight="1">
      <c r="B51" s="105" t="s">
        <v>380</v>
      </c>
      <c r="E51" s="108">
        <v>0</v>
      </c>
      <c r="F51" s="108"/>
      <c r="G51" s="107">
        <v>0</v>
      </c>
      <c r="H51" s="107"/>
      <c r="I51" s="107"/>
    </row>
    <row r="52" spans="1:9" s="105" customFormat="1" ht="15" customHeight="1">
      <c r="B52" s="104" t="s">
        <v>381</v>
      </c>
      <c r="E52" s="120">
        <f>SUM(E49:E51)</f>
        <v>0</v>
      </c>
      <c r="F52" s="108"/>
      <c r="G52" s="121">
        <f>SUM(G49:G51)</f>
        <v>5</v>
      </c>
      <c r="H52" s="107"/>
      <c r="I52" s="107"/>
    </row>
    <row r="53" spans="1:9" s="105" customFormat="1" ht="15" customHeight="1">
      <c r="B53" s="104"/>
      <c r="E53" s="108"/>
      <c r="F53" s="108"/>
      <c r="G53" s="107"/>
      <c r="H53" s="107"/>
      <c r="I53" s="107"/>
    </row>
    <row r="54" spans="1:9" s="105" customFormat="1" ht="15" customHeight="1">
      <c r="A54" s="119"/>
      <c r="E54" s="117"/>
      <c r="F54" s="117"/>
    </row>
    <row r="55" spans="1:9" s="105" customFormat="1" ht="15" customHeight="1" thickBot="1">
      <c r="A55" s="119"/>
      <c r="B55" s="104" t="s">
        <v>382</v>
      </c>
      <c r="E55" s="61">
        <f>E52+E46</f>
        <v>209</v>
      </c>
      <c r="F55" s="108"/>
      <c r="G55" s="62">
        <f>G52+G46</f>
        <v>46</v>
      </c>
    </row>
    <row r="56" spans="1:9" s="105" customFormat="1" ht="15" customHeight="1" thickTop="1">
      <c r="E56" s="117"/>
      <c r="F56" s="117"/>
    </row>
    <row r="57" spans="1:9" s="105" customFormat="1" ht="15" customHeight="1">
      <c r="A57" s="119"/>
      <c r="B57" s="103" t="s">
        <v>383</v>
      </c>
      <c r="C57" s="103"/>
      <c r="D57" s="103"/>
      <c r="E57" s="212"/>
      <c r="F57" s="212"/>
      <c r="G57" s="103"/>
      <c r="H57" s="103"/>
      <c r="I57" s="106"/>
    </row>
    <row r="58" spans="1:9" s="105" customFormat="1" ht="15" customHeight="1">
      <c r="B58" s="103" t="s">
        <v>384</v>
      </c>
      <c r="C58" s="103"/>
      <c r="D58" s="103"/>
      <c r="E58" s="212"/>
      <c r="F58" s="212"/>
      <c r="G58" s="103"/>
      <c r="H58" s="103"/>
      <c r="I58" s="106"/>
    </row>
    <row r="59" spans="1:9" s="105" customFormat="1" ht="15" customHeight="1">
      <c r="B59" s="103"/>
      <c r="C59" s="103"/>
      <c r="D59" s="103"/>
      <c r="E59" s="212"/>
      <c r="F59" s="212"/>
      <c r="G59" s="103"/>
      <c r="H59" s="103"/>
      <c r="I59" s="106"/>
    </row>
    <row r="60" spans="1:9" s="105" customFormat="1" ht="15" customHeight="1">
      <c r="B60" s="103"/>
      <c r="C60" s="103"/>
      <c r="D60" s="103"/>
      <c r="E60" s="212"/>
      <c r="F60" s="212"/>
      <c r="G60" s="103"/>
      <c r="H60" s="103"/>
      <c r="I60" s="106"/>
    </row>
    <row r="61" spans="1:9" s="79" customFormat="1" ht="15" customHeight="1">
      <c r="E61" s="80"/>
      <c r="F61" s="80"/>
    </row>
    <row r="62" spans="1:9" s="79" customFormat="1" ht="15" customHeight="1">
      <c r="E62" s="80"/>
      <c r="F62" s="80"/>
    </row>
    <row r="63" spans="1:9" s="79" customFormat="1" ht="15" customHeight="1">
      <c r="A63" s="93">
        <v>11</v>
      </c>
      <c r="B63" s="93" t="s">
        <v>385</v>
      </c>
      <c r="C63" s="91"/>
      <c r="D63" s="91"/>
      <c r="E63" s="102"/>
      <c r="F63" s="91"/>
      <c r="G63" s="91"/>
    </row>
    <row r="64" spans="1:9" s="79" customFormat="1" ht="15" customHeight="1">
      <c r="A64" s="91"/>
      <c r="B64" s="91"/>
      <c r="C64" s="91"/>
      <c r="D64" s="91"/>
      <c r="E64" s="91"/>
      <c r="F64" s="91"/>
      <c r="G64" s="91"/>
    </row>
    <row r="65" spans="1:7" s="79" customFormat="1" ht="15" customHeight="1">
      <c r="A65" s="91"/>
      <c r="B65" s="93" t="s">
        <v>1123</v>
      </c>
      <c r="C65" s="91"/>
      <c r="D65" s="91"/>
      <c r="E65" s="816" t="s">
        <v>18</v>
      </c>
      <c r="F65" s="816"/>
      <c r="G65" s="816"/>
    </row>
    <row r="66" spans="1:7" s="79" customFormat="1" ht="15" customHeight="1">
      <c r="A66" s="91"/>
      <c r="B66" s="91"/>
      <c r="C66" s="91"/>
      <c r="D66" s="91"/>
      <c r="E66" s="122" t="s">
        <v>21</v>
      </c>
      <c r="F66" s="122"/>
      <c r="G66" s="122" t="s">
        <v>22</v>
      </c>
    </row>
    <row r="67" spans="1:7" s="79" customFormat="1" ht="15" customHeight="1">
      <c r="A67" s="91"/>
      <c r="B67" s="91"/>
      <c r="C67" s="91"/>
      <c r="D67" s="91"/>
      <c r="E67" s="94" t="s">
        <v>128</v>
      </c>
      <c r="F67" s="94"/>
      <c r="G67" s="94" t="s">
        <v>128</v>
      </c>
    </row>
    <row r="68" spans="1:7" s="79" customFormat="1" ht="15.75">
      <c r="A68" s="91"/>
      <c r="B68" s="91"/>
      <c r="C68" s="91"/>
      <c r="D68" s="91"/>
      <c r="E68" s="93"/>
      <c r="F68" s="93"/>
      <c r="G68" s="93"/>
    </row>
    <row r="69" spans="1:7" s="79" customFormat="1" ht="15">
      <c r="A69" s="91"/>
      <c r="B69" s="91" t="s">
        <v>386</v>
      </c>
      <c r="C69" s="91"/>
      <c r="D69" s="91"/>
      <c r="E69" s="165">
        <v>0</v>
      </c>
      <c r="F69" s="165"/>
      <c r="G69" s="165">
        <v>0</v>
      </c>
    </row>
    <row r="70" spans="1:7" s="79" customFormat="1" ht="15.75">
      <c r="A70" s="91"/>
      <c r="B70" s="91" t="s">
        <v>387</v>
      </c>
      <c r="C70" s="91"/>
      <c r="D70" s="91"/>
      <c r="E70" s="123">
        <v>10</v>
      </c>
      <c r="F70" s="93"/>
      <c r="G70" s="123">
        <v>10</v>
      </c>
    </row>
    <row r="71" spans="1:7" s="79" customFormat="1" ht="15.75">
      <c r="A71" s="91"/>
      <c r="B71" s="91" t="s">
        <v>388</v>
      </c>
      <c r="C71" s="91"/>
      <c r="D71" s="91"/>
      <c r="E71" s="123">
        <v>-2</v>
      </c>
      <c r="F71" s="93"/>
      <c r="G71" s="123">
        <v>-2</v>
      </c>
    </row>
    <row r="72" spans="1:7" s="79" customFormat="1" ht="16.5" thickBot="1">
      <c r="A72" s="91"/>
      <c r="B72" s="91" t="s">
        <v>389</v>
      </c>
      <c r="C72" s="91"/>
      <c r="D72" s="91"/>
      <c r="E72" s="213">
        <f>SUM(E70:E71)</f>
        <v>8</v>
      </c>
      <c r="F72" s="89"/>
      <c r="G72" s="213">
        <f>SUM(G69:G71)</f>
        <v>8</v>
      </c>
    </row>
    <row r="73" spans="1:7" s="79" customFormat="1" ht="16.5" thickTop="1">
      <c r="A73" s="91"/>
      <c r="B73" s="91"/>
      <c r="C73" s="91"/>
      <c r="D73" s="91"/>
      <c r="E73" s="123"/>
      <c r="F73" s="89"/>
      <c r="G73" s="123"/>
    </row>
    <row r="74" spans="1:7" s="79" customFormat="1" ht="15">
      <c r="A74" s="91"/>
      <c r="B74" s="91" t="s">
        <v>390</v>
      </c>
      <c r="C74" s="91"/>
      <c r="D74" s="91"/>
      <c r="E74" s="91"/>
      <c r="F74" s="91"/>
      <c r="G74" s="91"/>
    </row>
    <row r="75" spans="1:7" s="79" customFormat="1" ht="15">
      <c r="A75" s="91"/>
      <c r="B75" s="91"/>
      <c r="C75" s="91"/>
      <c r="D75" s="91"/>
      <c r="E75" s="91"/>
      <c r="F75" s="91"/>
      <c r="G75" s="91"/>
    </row>
    <row r="76" spans="1:7" s="79" customFormat="1" ht="15.75">
      <c r="A76" s="91"/>
      <c r="B76" s="91"/>
      <c r="C76" s="91"/>
      <c r="D76" s="91"/>
      <c r="E76" s="123"/>
      <c r="F76" s="89"/>
      <c r="G76" s="123"/>
    </row>
    <row r="77" spans="1:7" s="79" customFormat="1" ht="15">
      <c r="A77" s="91"/>
      <c r="B77" s="91" t="s">
        <v>391</v>
      </c>
      <c r="C77" s="91"/>
      <c r="D77" s="91"/>
      <c r="E77" s="91"/>
      <c r="F77" s="91"/>
      <c r="G77" s="91"/>
    </row>
    <row r="78" spans="1:7" s="79" customFormat="1" ht="15">
      <c r="A78" s="91"/>
      <c r="B78" s="91" t="s">
        <v>392</v>
      </c>
      <c r="C78" s="91"/>
      <c r="D78" s="91"/>
      <c r="E78" s="91"/>
      <c r="F78" s="91"/>
      <c r="G78" s="91"/>
    </row>
    <row r="79" spans="1:7" s="79" customFormat="1" ht="11.25">
      <c r="E79" s="80"/>
      <c r="F79" s="80"/>
    </row>
    <row r="80" spans="1:7" s="79" customFormat="1" ht="11.25">
      <c r="E80" s="80"/>
      <c r="F80" s="80"/>
    </row>
    <row r="81" spans="5:6" s="79" customFormat="1" ht="11.25">
      <c r="E81" s="80"/>
      <c r="F81" s="80"/>
    </row>
  </sheetData>
  <mergeCells count="3">
    <mergeCell ref="E5:F5"/>
    <mergeCell ref="G5:H5"/>
    <mergeCell ref="E65:G65"/>
  </mergeCells>
  <pageMargins left="0.70866141732283472" right="0.70866141732283472" top="0.74803149606299213" bottom="0.74803149606299213" header="0.31496062992125984" footer="0.31496062992125984"/>
  <pageSetup paperSize="9" scale="56" orientation="portrait" r:id="rId1"/>
  <headerFoot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view="pageBreakPreview" topLeftCell="A20" zoomScale="60" zoomScaleNormal="100" workbookViewId="0">
      <selection activeCell="B79" sqref="B79"/>
    </sheetView>
  </sheetViews>
  <sheetFormatPr defaultRowHeight="15"/>
  <cols>
    <col min="1" max="1" width="5.7109375" customWidth="1"/>
    <col min="2" max="2" width="23.42578125" bestFit="1" customWidth="1"/>
    <col min="3" max="3" width="9.7109375" bestFit="1" customWidth="1"/>
    <col min="4" max="4" width="21.5703125" bestFit="1" customWidth="1"/>
    <col min="5" max="5" width="1.140625" style="675" customWidth="1"/>
    <col min="6" max="6" width="16.85546875" customWidth="1"/>
    <col min="7" max="7" width="1.140625" style="675" customWidth="1"/>
    <col min="8" max="8" width="18.28515625" customWidth="1"/>
    <col min="9" max="9" width="1.140625" style="675" customWidth="1"/>
    <col min="10" max="10" width="16" customWidth="1"/>
    <col min="11" max="11" width="1.140625" style="675" customWidth="1"/>
    <col min="12" max="12" width="18.28515625" customWidth="1"/>
    <col min="13" max="13" width="1.140625" style="675" customWidth="1"/>
    <col min="14" max="14" width="20.28515625" customWidth="1"/>
    <col min="15" max="15" width="1.140625" style="675" customWidth="1"/>
    <col min="16" max="16" width="13.140625" customWidth="1"/>
    <col min="17" max="17" width="1.140625" style="675" customWidth="1"/>
    <col min="18" max="18" width="18.7109375" bestFit="1" customWidth="1"/>
  </cols>
  <sheetData>
    <row r="1" spans="1:18" ht="23.25">
      <c r="A1" s="11" t="s">
        <v>298</v>
      </c>
    </row>
    <row r="2" spans="1:18" ht="18">
      <c r="A2" s="12" t="s">
        <v>129</v>
      </c>
    </row>
    <row r="3" spans="1:18" ht="15.75" thickBot="1">
      <c r="A3" s="214"/>
      <c r="B3" s="214"/>
      <c r="C3" s="214"/>
      <c r="D3" s="214"/>
      <c r="E3" s="214"/>
      <c r="F3" s="214"/>
      <c r="G3" s="214"/>
      <c r="H3" s="214"/>
      <c r="I3" s="214"/>
      <c r="J3" s="214"/>
      <c r="K3" s="214"/>
      <c r="L3" s="214"/>
      <c r="M3" s="214"/>
      <c r="N3" s="214"/>
      <c r="O3" s="214"/>
      <c r="P3" s="214"/>
      <c r="Q3" s="214"/>
      <c r="R3" s="214"/>
    </row>
    <row r="5" spans="1:18" ht="15.75">
      <c r="A5" s="124">
        <v>12</v>
      </c>
      <c r="B5" s="125" t="s">
        <v>393</v>
      </c>
    </row>
    <row r="6" spans="1:18" ht="114" customHeight="1">
      <c r="D6" s="126" t="s">
        <v>394</v>
      </c>
      <c r="E6" s="697"/>
      <c r="F6" s="126" t="s">
        <v>395</v>
      </c>
      <c r="G6" s="697"/>
      <c r="H6" s="126" t="s">
        <v>950</v>
      </c>
      <c r="I6" s="697"/>
      <c r="J6" s="126" t="s">
        <v>396</v>
      </c>
      <c r="K6" s="697"/>
      <c r="L6" s="126" t="s">
        <v>397</v>
      </c>
      <c r="M6" s="697"/>
      <c r="N6" s="126" t="s">
        <v>398</v>
      </c>
      <c r="O6" s="697"/>
      <c r="P6" s="126" t="s">
        <v>73</v>
      </c>
      <c r="Q6" s="697"/>
      <c r="R6" s="126" t="s">
        <v>399</v>
      </c>
    </row>
    <row r="7" spans="1:18" ht="19.5" customHeight="1">
      <c r="A7" s="30"/>
      <c r="B7" s="32"/>
      <c r="C7" s="32"/>
      <c r="D7" s="32" t="s">
        <v>128</v>
      </c>
      <c r="E7" s="698"/>
      <c r="F7" s="32" t="s">
        <v>128</v>
      </c>
      <c r="G7" s="698"/>
      <c r="H7" s="32" t="s">
        <v>128</v>
      </c>
      <c r="I7" s="698"/>
      <c r="J7" s="33" t="s">
        <v>128</v>
      </c>
      <c r="K7" s="705"/>
      <c r="L7" s="33" t="s">
        <v>128</v>
      </c>
      <c r="M7" s="705"/>
      <c r="N7" s="33" t="s">
        <v>128</v>
      </c>
      <c r="O7" s="705"/>
      <c r="P7" s="32" t="s">
        <v>128</v>
      </c>
      <c r="Q7" s="698"/>
      <c r="R7" s="32" t="s">
        <v>128</v>
      </c>
    </row>
    <row r="8" spans="1:18" hidden="1"/>
    <row r="9" spans="1:18" ht="15.75">
      <c r="A9" s="29" t="s">
        <v>400</v>
      </c>
    </row>
    <row r="10" spans="1:18" ht="15.75">
      <c r="B10" s="215" t="s">
        <v>401</v>
      </c>
      <c r="D10" s="216">
        <f>69470+88000</f>
        <v>157470</v>
      </c>
      <c r="E10" s="216"/>
      <c r="F10" s="216">
        <v>43573</v>
      </c>
      <c r="G10" s="216"/>
      <c r="H10" s="216">
        <v>12000</v>
      </c>
      <c r="I10" s="216"/>
      <c r="J10" s="216">
        <v>10416</v>
      </c>
      <c r="K10" s="216"/>
      <c r="L10" s="216">
        <v>20170</v>
      </c>
      <c r="M10" s="216"/>
      <c r="N10" s="216">
        <v>12734</v>
      </c>
      <c r="O10" s="216"/>
      <c r="P10" s="216">
        <v>1300</v>
      </c>
      <c r="Q10" s="216"/>
      <c r="R10" s="216">
        <f>SUM(D10:P10)</f>
        <v>257663</v>
      </c>
    </row>
    <row r="11" spans="1:18" ht="15.75">
      <c r="B11" s="215" t="s">
        <v>402</v>
      </c>
      <c r="D11" s="216">
        <f>23987-3421+277+27078-3627-2465+2067+1236+1584-2160</f>
        <v>44556</v>
      </c>
      <c r="E11" s="216"/>
      <c r="F11" s="216">
        <v>613</v>
      </c>
      <c r="G11" s="216"/>
      <c r="H11" s="217">
        <v>0</v>
      </c>
      <c r="I11" s="217"/>
      <c r="J11" s="216">
        <v>507</v>
      </c>
      <c r="K11" s="216"/>
      <c r="L11" s="216">
        <v>620</v>
      </c>
      <c r="M11" s="216"/>
      <c r="N11" s="216">
        <v>421</v>
      </c>
      <c r="O11" s="216"/>
      <c r="P11" s="216">
        <v>200</v>
      </c>
      <c r="Q11" s="216"/>
      <c r="R11" s="216">
        <v>46917</v>
      </c>
    </row>
    <row r="12" spans="1:18" ht="15.75">
      <c r="B12" s="215" t="s">
        <v>403</v>
      </c>
      <c r="D12" s="216">
        <v>5314</v>
      </c>
      <c r="E12" s="216"/>
      <c r="F12" s="217">
        <v>0</v>
      </c>
      <c r="G12" s="217"/>
      <c r="H12" s="217">
        <v>0</v>
      </c>
      <c r="I12" s="217"/>
      <c r="J12" s="217">
        <v>0</v>
      </c>
      <c r="K12" s="217"/>
      <c r="L12" s="216">
        <v>368</v>
      </c>
      <c r="M12" s="216"/>
      <c r="N12" s="216">
        <v>-5682</v>
      </c>
      <c r="O12" s="216"/>
      <c r="P12" s="217">
        <v>0</v>
      </c>
      <c r="Q12" s="217"/>
      <c r="R12" s="217">
        <v>0</v>
      </c>
    </row>
    <row r="13" spans="1:18" ht="15.75">
      <c r="B13" s="216" t="s">
        <v>404</v>
      </c>
      <c r="D13" s="216">
        <v>2160</v>
      </c>
      <c r="E13" s="216"/>
      <c r="F13" s="217">
        <v>0</v>
      </c>
      <c r="G13" s="217"/>
      <c r="H13" s="217">
        <v>0</v>
      </c>
      <c r="I13" s="217"/>
      <c r="J13" s="217">
        <v>0</v>
      </c>
      <c r="K13" s="217"/>
      <c r="L13" s="217">
        <v>0</v>
      </c>
      <c r="M13" s="217"/>
      <c r="N13" s="217">
        <v>0</v>
      </c>
      <c r="O13" s="217"/>
      <c r="P13" s="217">
        <v>0</v>
      </c>
      <c r="Q13" s="217"/>
      <c r="R13" s="216">
        <v>2160</v>
      </c>
    </row>
    <row r="14" spans="1:18" ht="15.75">
      <c r="B14" s="215" t="s">
        <v>405</v>
      </c>
      <c r="D14" s="216">
        <v>-15000</v>
      </c>
      <c r="E14" s="216"/>
      <c r="F14" s="217">
        <v>0</v>
      </c>
      <c r="G14" s="217"/>
      <c r="H14" s="217">
        <v>0</v>
      </c>
      <c r="I14" s="217"/>
      <c r="J14" s="217">
        <v>0</v>
      </c>
      <c r="K14" s="217"/>
      <c r="L14" s="216">
        <v>-686</v>
      </c>
      <c r="M14" s="216"/>
      <c r="N14" s="217">
        <v>0</v>
      </c>
      <c r="O14" s="217"/>
      <c r="P14" s="217">
        <v>0</v>
      </c>
      <c r="Q14" s="217"/>
      <c r="R14" s="216">
        <v>-15686</v>
      </c>
    </row>
    <row r="15" spans="1:18" ht="15.75">
      <c r="B15" s="218" t="s">
        <v>406</v>
      </c>
      <c r="D15" s="219">
        <f>SUM(D10:D14)</f>
        <v>194500</v>
      </c>
      <c r="E15" s="218"/>
      <c r="F15" s="219">
        <f t="shared" ref="F15:P15" si="0">SUM(F10:F14)</f>
        <v>44186</v>
      </c>
      <c r="G15" s="218"/>
      <c r="H15" s="219">
        <f t="shared" si="0"/>
        <v>12000</v>
      </c>
      <c r="I15" s="218"/>
      <c r="J15" s="219">
        <f t="shared" si="0"/>
        <v>10923</v>
      </c>
      <c r="K15" s="218"/>
      <c r="L15" s="219">
        <f t="shared" si="0"/>
        <v>20472</v>
      </c>
      <c r="M15" s="218"/>
      <c r="N15" s="219">
        <f t="shared" si="0"/>
        <v>7473</v>
      </c>
      <c r="O15" s="218"/>
      <c r="P15" s="219">
        <f t="shared" si="0"/>
        <v>1500</v>
      </c>
      <c r="Q15" s="218"/>
      <c r="R15" s="219">
        <f>SUM(R10:R14)</f>
        <v>291054</v>
      </c>
    </row>
    <row r="17" spans="1:18" ht="15.75">
      <c r="A17" s="29" t="s">
        <v>407</v>
      </c>
    </row>
    <row r="18" spans="1:18" ht="15.75">
      <c r="B18" s="220" t="s">
        <v>408</v>
      </c>
      <c r="D18" s="216">
        <v>90160</v>
      </c>
      <c r="E18" s="216"/>
      <c r="F18" s="217">
        <v>0</v>
      </c>
      <c r="G18" s="217"/>
      <c r="H18" s="217">
        <v>0</v>
      </c>
      <c r="I18" s="217"/>
      <c r="J18" s="217">
        <v>0</v>
      </c>
      <c r="K18" s="217"/>
      <c r="L18" s="217">
        <v>0</v>
      </c>
      <c r="M18" s="217"/>
      <c r="N18" s="217">
        <v>0</v>
      </c>
      <c r="O18" s="217"/>
      <c r="P18" s="217">
        <v>0</v>
      </c>
      <c r="Q18" s="217"/>
      <c r="R18" s="216">
        <v>90160</v>
      </c>
    </row>
    <row r="19" spans="1:18" ht="15.75">
      <c r="B19" s="216" t="s">
        <v>409</v>
      </c>
      <c r="D19" s="216">
        <f>+D15-SUM(D18:D18)</f>
        <v>104340</v>
      </c>
      <c r="E19" s="216"/>
      <c r="F19" s="216">
        <f t="shared" ref="F19:P19" si="1">+F15-SUM(F18:F18)</f>
        <v>44186</v>
      </c>
      <c r="G19" s="216"/>
      <c r="H19" s="216">
        <f t="shared" si="1"/>
        <v>12000</v>
      </c>
      <c r="I19" s="216"/>
      <c r="J19" s="216">
        <f t="shared" si="1"/>
        <v>10923</v>
      </c>
      <c r="K19" s="216"/>
      <c r="L19" s="216">
        <f t="shared" si="1"/>
        <v>20472</v>
      </c>
      <c r="M19" s="216"/>
      <c r="N19" s="216">
        <f t="shared" si="1"/>
        <v>7473</v>
      </c>
      <c r="O19" s="216"/>
      <c r="P19" s="216">
        <f t="shared" si="1"/>
        <v>1500</v>
      </c>
      <c r="Q19" s="216"/>
      <c r="R19" s="216">
        <v>200894</v>
      </c>
    </row>
    <row r="20" spans="1:18" ht="15.75">
      <c r="B20" s="216"/>
      <c r="D20" s="219">
        <f>SUM(D18:D19)</f>
        <v>194500</v>
      </c>
      <c r="E20" s="218"/>
      <c r="F20" s="219">
        <v>44186</v>
      </c>
      <c r="G20" s="218"/>
      <c r="H20" s="219">
        <v>12000</v>
      </c>
      <c r="I20" s="218"/>
      <c r="J20" s="219">
        <v>10923</v>
      </c>
      <c r="K20" s="218"/>
      <c r="L20" s="219">
        <v>20472</v>
      </c>
      <c r="M20" s="218"/>
      <c r="N20" s="219">
        <v>7473</v>
      </c>
      <c r="O20" s="218"/>
      <c r="P20" s="219">
        <v>1500</v>
      </c>
      <c r="Q20" s="218"/>
      <c r="R20" s="219">
        <v>291054</v>
      </c>
    </row>
    <row r="22" spans="1:18" ht="15.75">
      <c r="A22" s="29" t="s">
        <v>106</v>
      </c>
    </row>
    <row r="23" spans="1:18" ht="15.75">
      <c r="B23" s="215" t="s">
        <v>401</v>
      </c>
      <c r="D23" s="216">
        <f>12184+21700</f>
        <v>33884</v>
      </c>
      <c r="E23" s="216"/>
      <c r="F23" s="216">
        <v>1938</v>
      </c>
      <c r="G23" s="216"/>
      <c r="H23" s="216">
        <v>300</v>
      </c>
      <c r="I23" s="216"/>
      <c r="J23" s="216">
        <v>7503</v>
      </c>
      <c r="K23" s="216"/>
      <c r="L23" s="216">
        <v>13280</v>
      </c>
      <c r="M23" s="216"/>
      <c r="N23" s="217">
        <v>0</v>
      </c>
      <c r="O23" s="217"/>
      <c r="P23" s="217">
        <v>0</v>
      </c>
      <c r="Q23" s="217"/>
      <c r="R23" s="216">
        <f>SUM(D23:P23)</f>
        <v>56905</v>
      </c>
    </row>
    <row r="24" spans="1:18" ht="15.75">
      <c r="B24" s="215" t="s">
        <v>410</v>
      </c>
      <c r="D24" s="216">
        <v>3908</v>
      </c>
      <c r="E24" s="216"/>
      <c r="F24" s="216">
        <v>910</v>
      </c>
      <c r="G24" s="216"/>
      <c r="H24" s="216">
        <v>300</v>
      </c>
      <c r="I24" s="216"/>
      <c r="J24" s="216">
        <v>1001</v>
      </c>
      <c r="K24" s="216"/>
      <c r="L24" s="216">
        <v>2596</v>
      </c>
      <c r="M24" s="216"/>
      <c r="N24" s="217">
        <v>0</v>
      </c>
      <c r="O24" s="217"/>
      <c r="P24" s="217">
        <v>0</v>
      </c>
      <c r="Q24" s="217"/>
      <c r="R24" s="216">
        <f t="shared" ref="R24:R26" si="2">SUM(D24:P24)</f>
        <v>8715</v>
      </c>
    </row>
    <row r="25" spans="1:18" ht="15.75">
      <c r="B25" s="216" t="s">
        <v>411</v>
      </c>
      <c r="D25" s="216">
        <v>-360</v>
      </c>
      <c r="E25" s="216"/>
      <c r="F25" s="217">
        <v>0</v>
      </c>
      <c r="G25" s="217"/>
      <c r="H25" s="217">
        <v>0</v>
      </c>
      <c r="I25" s="217"/>
      <c r="J25" s="217">
        <v>0</v>
      </c>
      <c r="K25" s="217"/>
      <c r="L25" s="217">
        <v>0</v>
      </c>
      <c r="M25" s="217"/>
      <c r="N25" s="217">
        <v>0</v>
      </c>
      <c r="O25" s="217"/>
      <c r="P25" s="217">
        <v>0</v>
      </c>
      <c r="Q25" s="217"/>
      <c r="R25" s="216">
        <f t="shared" si="2"/>
        <v>-360</v>
      </c>
    </row>
    <row r="26" spans="1:18" ht="15.75">
      <c r="B26" s="215" t="s">
        <v>405</v>
      </c>
      <c r="D26" s="216">
        <v>-2500</v>
      </c>
      <c r="E26" s="216"/>
      <c r="F26" s="217">
        <v>0</v>
      </c>
      <c r="G26" s="217"/>
      <c r="H26" s="217">
        <v>0</v>
      </c>
      <c r="I26" s="217"/>
      <c r="J26" s="217">
        <v>0</v>
      </c>
      <c r="K26" s="217"/>
      <c r="L26" s="216">
        <v>-516</v>
      </c>
      <c r="M26" s="216"/>
      <c r="N26" s="217">
        <v>0</v>
      </c>
      <c r="O26" s="217"/>
      <c r="P26" s="217">
        <v>0</v>
      </c>
      <c r="Q26" s="217"/>
      <c r="R26" s="216">
        <f t="shared" si="2"/>
        <v>-3016</v>
      </c>
    </row>
    <row r="27" spans="1:18" ht="15.75">
      <c r="B27" s="218" t="s">
        <v>406</v>
      </c>
      <c r="D27" s="219">
        <f>SUM(D23:D26)</f>
        <v>34932</v>
      </c>
      <c r="E27" s="218"/>
      <c r="F27" s="219">
        <f t="shared" ref="F27:P27" si="3">SUM(F23:F26)</f>
        <v>2848</v>
      </c>
      <c r="G27" s="218"/>
      <c r="H27" s="219">
        <f t="shared" si="3"/>
        <v>600</v>
      </c>
      <c r="I27" s="218"/>
      <c r="J27" s="219">
        <f t="shared" si="3"/>
        <v>8504</v>
      </c>
      <c r="K27" s="218"/>
      <c r="L27" s="219">
        <f t="shared" si="3"/>
        <v>15360</v>
      </c>
      <c r="M27" s="218"/>
      <c r="N27" s="370">
        <f t="shared" si="3"/>
        <v>0</v>
      </c>
      <c r="O27" s="217"/>
      <c r="P27" s="370">
        <f t="shared" si="3"/>
        <v>0</v>
      </c>
      <c r="Q27" s="217"/>
      <c r="R27" s="219">
        <f>SUM(R23:R26)</f>
        <v>62244</v>
      </c>
    </row>
    <row r="29" spans="1:18" ht="15.75">
      <c r="A29" s="29" t="s">
        <v>412</v>
      </c>
    </row>
    <row r="30" spans="1:18" ht="16.5" thickBot="1">
      <c r="B30" s="29" t="s">
        <v>406</v>
      </c>
      <c r="D30" s="221">
        <f>+D15-D27</f>
        <v>159568</v>
      </c>
      <c r="E30" s="218"/>
      <c r="F30" s="221">
        <f t="shared" ref="F30:R30" si="4">+F15-F27</f>
        <v>41338</v>
      </c>
      <c r="G30" s="218"/>
      <c r="H30" s="221">
        <f t="shared" si="4"/>
        <v>11400</v>
      </c>
      <c r="I30" s="218"/>
      <c r="J30" s="221">
        <f t="shared" si="4"/>
        <v>2419</v>
      </c>
      <c r="K30" s="218"/>
      <c r="L30" s="221">
        <f t="shared" si="4"/>
        <v>5112</v>
      </c>
      <c r="M30" s="218"/>
      <c r="N30" s="221">
        <f t="shared" si="4"/>
        <v>7473</v>
      </c>
      <c r="O30" s="218"/>
      <c r="P30" s="221">
        <f t="shared" si="4"/>
        <v>1500</v>
      </c>
      <c r="Q30" s="218"/>
      <c r="R30" s="221">
        <f t="shared" si="4"/>
        <v>228810</v>
      </c>
    </row>
    <row r="31" spans="1:18" ht="15.75" thickTop="1"/>
    <row r="32" spans="1:18" ht="16.5" thickBot="1">
      <c r="B32" s="216" t="s">
        <v>413</v>
      </c>
      <c r="D32" s="222">
        <f>+D10-D23</f>
        <v>123586</v>
      </c>
      <c r="E32" s="216"/>
      <c r="F32" s="222">
        <f t="shared" ref="F32:R32" si="5">+F10-F23</f>
        <v>41635</v>
      </c>
      <c r="G32" s="216"/>
      <c r="H32" s="222">
        <f t="shared" si="5"/>
        <v>11700</v>
      </c>
      <c r="I32" s="216"/>
      <c r="J32" s="222">
        <f t="shared" si="5"/>
        <v>2913</v>
      </c>
      <c r="K32" s="216"/>
      <c r="L32" s="222">
        <f t="shared" si="5"/>
        <v>6890</v>
      </c>
      <c r="M32" s="216"/>
      <c r="N32" s="222">
        <f t="shared" si="5"/>
        <v>12734</v>
      </c>
      <c r="O32" s="216"/>
      <c r="P32" s="222">
        <f t="shared" si="5"/>
        <v>1300</v>
      </c>
      <c r="Q32" s="216"/>
      <c r="R32" s="222">
        <f t="shared" si="5"/>
        <v>200758</v>
      </c>
    </row>
    <row r="33" spans="1:18" ht="15.75" thickTop="1"/>
    <row r="34" spans="1:18" ht="15.75">
      <c r="A34" s="29" t="s">
        <v>22</v>
      </c>
    </row>
    <row r="36" spans="1:18" ht="15.75">
      <c r="A36" s="29" t="s">
        <v>414</v>
      </c>
    </row>
    <row r="37" spans="1:18" ht="15.75">
      <c r="B37" s="215" t="s">
        <v>401</v>
      </c>
      <c r="D37" s="366">
        <f>149416-12734+19150-2067+700</f>
        <v>154465</v>
      </c>
      <c r="E37" s="366"/>
      <c r="F37" s="216">
        <v>43573</v>
      </c>
      <c r="G37" s="216"/>
      <c r="H37" s="216">
        <v>12000</v>
      </c>
      <c r="I37" s="216"/>
      <c r="J37" s="216">
        <v>10002</v>
      </c>
      <c r="K37" s="216"/>
      <c r="L37" s="216">
        <v>18050</v>
      </c>
      <c r="M37" s="216"/>
      <c r="N37" s="216">
        <v>12734</v>
      </c>
      <c r="O37" s="216"/>
      <c r="P37" s="216">
        <v>1300</v>
      </c>
      <c r="Q37" s="216"/>
      <c r="R37" s="216">
        <f>SUM(D37:P37)</f>
        <v>252124</v>
      </c>
    </row>
    <row r="38" spans="1:18" ht="15.75">
      <c r="B38" s="215" t="s">
        <v>402</v>
      </c>
      <c r="D38" s="216">
        <f>17591-3421+991+17939-3627-2465+2067+1236+1584</f>
        <v>31895</v>
      </c>
      <c r="E38" s="216"/>
      <c r="F38" s="216">
        <v>1613</v>
      </c>
      <c r="G38" s="216"/>
      <c r="H38" s="217">
        <v>0</v>
      </c>
      <c r="I38" s="217"/>
      <c r="J38" s="216">
        <v>507</v>
      </c>
      <c r="K38" s="216"/>
      <c r="L38" s="216">
        <v>6110</v>
      </c>
      <c r="M38" s="216"/>
      <c r="N38" s="216">
        <v>421</v>
      </c>
      <c r="O38" s="216"/>
      <c r="P38" s="216">
        <v>200</v>
      </c>
      <c r="Q38" s="216"/>
      <c r="R38" s="216">
        <f t="shared" ref="R38:R41" si="6">SUM(D38:P38)</f>
        <v>40746</v>
      </c>
    </row>
    <row r="39" spans="1:18" ht="15.75">
      <c r="B39" s="215" t="s">
        <v>403</v>
      </c>
      <c r="D39" s="216">
        <v>5314</v>
      </c>
      <c r="E39" s="216"/>
      <c r="F39" s="217">
        <v>0</v>
      </c>
      <c r="G39" s="217"/>
      <c r="H39" s="217">
        <v>0</v>
      </c>
      <c r="I39" s="217"/>
      <c r="J39" s="217">
        <v>0</v>
      </c>
      <c r="K39" s="217"/>
      <c r="L39" s="216">
        <v>368</v>
      </c>
      <c r="M39" s="216"/>
      <c r="N39" s="216">
        <v>-5682</v>
      </c>
      <c r="O39" s="216"/>
      <c r="P39" s="217">
        <v>0</v>
      </c>
      <c r="Q39" s="217"/>
      <c r="R39" s="216">
        <f t="shared" si="6"/>
        <v>0</v>
      </c>
    </row>
    <row r="40" spans="1:18" ht="15.75">
      <c r="B40" s="216" t="s">
        <v>404</v>
      </c>
      <c r="D40" s="216">
        <v>2160</v>
      </c>
      <c r="E40" s="216"/>
      <c r="F40" s="217">
        <v>0</v>
      </c>
      <c r="G40" s="217"/>
      <c r="H40" s="217">
        <v>0</v>
      </c>
      <c r="I40" s="217"/>
      <c r="J40" s="217">
        <v>0</v>
      </c>
      <c r="K40" s="217"/>
      <c r="L40" s="217">
        <v>0</v>
      </c>
      <c r="M40" s="217"/>
      <c r="N40" s="217">
        <v>0</v>
      </c>
      <c r="O40" s="217"/>
      <c r="P40" s="217">
        <v>0</v>
      </c>
      <c r="Q40" s="217"/>
      <c r="R40" s="216">
        <f t="shared" si="6"/>
        <v>2160</v>
      </c>
    </row>
    <row r="41" spans="1:18" ht="15.75">
      <c r="B41" s="215" t="s">
        <v>405</v>
      </c>
      <c r="D41" s="216">
        <v>-15000</v>
      </c>
      <c r="E41" s="216"/>
      <c r="F41" s="217">
        <v>0</v>
      </c>
      <c r="G41" s="217"/>
      <c r="H41" s="217">
        <v>0</v>
      </c>
      <c r="I41" s="217"/>
      <c r="J41" s="217">
        <v>0</v>
      </c>
      <c r="K41" s="217"/>
      <c r="L41" s="216">
        <v>-523</v>
      </c>
      <c r="M41" s="216"/>
      <c r="N41" s="217">
        <v>0</v>
      </c>
      <c r="O41" s="217"/>
      <c r="P41" s="217">
        <v>0</v>
      </c>
      <c r="Q41" s="217"/>
      <c r="R41" s="216">
        <f t="shared" si="6"/>
        <v>-15523</v>
      </c>
    </row>
    <row r="42" spans="1:18" ht="15.75">
      <c r="B42" s="223" t="s">
        <v>406</v>
      </c>
      <c r="D42" s="219">
        <f>SUM(D37:D41)</f>
        <v>178834</v>
      </c>
      <c r="E42" s="218"/>
      <c r="F42" s="219">
        <f t="shared" ref="F42:P42" si="7">SUM(F37:F41)</f>
        <v>45186</v>
      </c>
      <c r="G42" s="218"/>
      <c r="H42" s="219">
        <f t="shared" si="7"/>
        <v>12000</v>
      </c>
      <c r="I42" s="218"/>
      <c r="J42" s="219">
        <f t="shared" si="7"/>
        <v>10509</v>
      </c>
      <c r="K42" s="218"/>
      <c r="L42" s="219">
        <f t="shared" si="7"/>
        <v>24005</v>
      </c>
      <c r="M42" s="218"/>
      <c r="N42" s="219">
        <f t="shared" si="7"/>
        <v>7473</v>
      </c>
      <c r="O42" s="218"/>
      <c r="P42" s="219">
        <f t="shared" si="7"/>
        <v>1500</v>
      </c>
      <c r="Q42" s="218"/>
      <c r="R42" s="219">
        <f>SUM(R37:R41)</f>
        <v>279507</v>
      </c>
    </row>
    <row r="43" spans="1:18" ht="15.75">
      <c r="A43" s="29" t="s">
        <v>407</v>
      </c>
      <c r="B43" s="30"/>
    </row>
    <row r="44" spans="1:18" ht="15.75">
      <c r="A44" s="30"/>
      <c r="B44" s="34" t="s">
        <v>408</v>
      </c>
      <c r="D44" s="216">
        <v>90160</v>
      </c>
      <c r="E44" s="216"/>
      <c r="F44" s="217">
        <v>0</v>
      </c>
      <c r="G44" s="217"/>
      <c r="H44" s="217">
        <v>0</v>
      </c>
      <c r="I44" s="217"/>
      <c r="J44" s="217">
        <v>0</v>
      </c>
      <c r="K44" s="217"/>
      <c r="L44" s="217">
        <v>0</v>
      </c>
      <c r="M44" s="217"/>
      <c r="N44" s="217">
        <v>0</v>
      </c>
      <c r="O44" s="217"/>
      <c r="P44" s="217">
        <v>0</v>
      </c>
      <c r="Q44" s="217"/>
      <c r="R44" s="216">
        <v>90160</v>
      </c>
    </row>
    <row r="45" spans="1:18" ht="15.75">
      <c r="A45" s="30"/>
      <c r="B45" s="30" t="s">
        <v>409</v>
      </c>
      <c r="D45" s="216">
        <f>D42-SUM(D44:D44)</f>
        <v>88674</v>
      </c>
      <c r="E45" s="216"/>
      <c r="F45" s="216">
        <f t="shared" ref="F45:R45" si="8">F42-SUM(F44:F44)</f>
        <v>45186</v>
      </c>
      <c r="G45" s="216"/>
      <c r="H45" s="216">
        <f t="shared" si="8"/>
        <v>12000</v>
      </c>
      <c r="I45" s="216"/>
      <c r="J45" s="216">
        <f t="shared" si="8"/>
        <v>10509</v>
      </c>
      <c r="K45" s="216"/>
      <c r="L45" s="216">
        <f t="shared" si="8"/>
        <v>24005</v>
      </c>
      <c r="M45" s="216"/>
      <c r="N45" s="216">
        <f t="shared" si="8"/>
        <v>7473</v>
      </c>
      <c r="O45" s="216"/>
      <c r="P45" s="216">
        <f t="shared" si="8"/>
        <v>1500</v>
      </c>
      <c r="Q45" s="216"/>
      <c r="R45" s="216">
        <f t="shared" si="8"/>
        <v>189347</v>
      </c>
    </row>
    <row r="46" spans="1:18" ht="15.75">
      <c r="D46" s="219">
        <f>SUM(D44:D45)</f>
        <v>178834</v>
      </c>
      <c r="E46" s="218"/>
      <c r="F46" s="219">
        <f t="shared" ref="F46:R46" si="9">SUM(F44:F45)</f>
        <v>45186</v>
      </c>
      <c r="G46" s="218"/>
      <c r="H46" s="219">
        <f t="shared" si="9"/>
        <v>12000</v>
      </c>
      <c r="I46" s="218"/>
      <c r="J46" s="219">
        <f t="shared" si="9"/>
        <v>10509</v>
      </c>
      <c r="K46" s="218"/>
      <c r="L46" s="219">
        <f t="shared" si="9"/>
        <v>24005</v>
      </c>
      <c r="M46" s="218"/>
      <c r="N46" s="219">
        <f t="shared" si="9"/>
        <v>7473</v>
      </c>
      <c r="O46" s="218"/>
      <c r="P46" s="219">
        <f t="shared" si="9"/>
        <v>1500</v>
      </c>
      <c r="Q46" s="218"/>
      <c r="R46" s="219">
        <f t="shared" si="9"/>
        <v>279507</v>
      </c>
    </row>
    <row r="47" spans="1:18" ht="15.75">
      <c r="A47" s="218" t="s">
        <v>106</v>
      </c>
      <c r="B47" s="218"/>
      <c r="C47" s="218"/>
      <c r="D47" s="218"/>
      <c r="E47" s="218"/>
      <c r="F47" s="218"/>
      <c r="G47" s="218"/>
      <c r="H47" s="218"/>
      <c r="I47" s="218"/>
      <c r="J47" s="218"/>
      <c r="K47" s="218"/>
      <c r="L47" s="218"/>
      <c r="M47" s="218"/>
      <c r="N47" s="218"/>
      <c r="O47" s="218"/>
      <c r="P47" s="218"/>
      <c r="Q47" s="218"/>
      <c r="R47" s="218"/>
    </row>
    <row r="48" spans="1:18" ht="15.75">
      <c r="A48" s="224"/>
      <c r="B48" s="215" t="s">
        <v>401</v>
      </c>
      <c r="D48" s="216">
        <v>33513</v>
      </c>
      <c r="E48" s="216"/>
      <c r="F48" s="216">
        <v>1938</v>
      </c>
      <c r="G48" s="216"/>
      <c r="H48" s="216">
        <v>300</v>
      </c>
      <c r="I48" s="216"/>
      <c r="J48" s="216">
        <v>7303</v>
      </c>
      <c r="K48" s="216"/>
      <c r="L48" s="216">
        <v>11706</v>
      </c>
      <c r="M48" s="216"/>
      <c r="N48" s="217">
        <v>0</v>
      </c>
      <c r="O48" s="217"/>
      <c r="P48" s="217">
        <v>0</v>
      </c>
      <c r="Q48" s="217"/>
      <c r="R48" s="216">
        <v>54760</v>
      </c>
    </row>
    <row r="49" spans="1:18" ht="15.75">
      <c r="A49" s="224"/>
      <c r="B49" s="215" t="s">
        <v>410</v>
      </c>
      <c r="D49" s="216">
        <v>3908</v>
      </c>
      <c r="E49" s="216"/>
      <c r="F49" s="216">
        <v>910</v>
      </c>
      <c r="G49" s="216"/>
      <c r="H49" s="216">
        <v>300</v>
      </c>
      <c r="I49" s="216"/>
      <c r="J49" s="216">
        <v>890</v>
      </c>
      <c r="K49" s="216"/>
      <c r="L49" s="216">
        <v>2418</v>
      </c>
      <c r="M49" s="216"/>
      <c r="N49" s="217">
        <v>0</v>
      </c>
      <c r="O49" s="217"/>
      <c r="P49" s="217">
        <v>0</v>
      </c>
      <c r="Q49" s="217"/>
      <c r="R49" s="216">
        <v>8426</v>
      </c>
    </row>
    <row r="50" spans="1:18" ht="15.75">
      <c r="A50" s="216"/>
      <c r="B50" s="216" t="s">
        <v>411</v>
      </c>
      <c r="D50" s="216">
        <v>-360</v>
      </c>
      <c r="E50" s="216"/>
      <c r="F50" s="217">
        <v>0</v>
      </c>
      <c r="G50" s="217"/>
      <c r="H50" s="217">
        <v>0</v>
      </c>
      <c r="I50" s="217"/>
      <c r="J50" s="217">
        <v>0</v>
      </c>
      <c r="K50" s="217"/>
      <c r="L50" s="217">
        <v>0</v>
      </c>
      <c r="M50" s="217"/>
      <c r="N50" s="217">
        <v>0</v>
      </c>
      <c r="O50" s="217"/>
      <c r="P50" s="217">
        <v>0</v>
      </c>
      <c r="Q50" s="217"/>
      <c r="R50" s="216">
        <v>-360</v>
      </c>
    </row>
    <row r="51" spans="1:18" ht="15.75">
      <c r="A51" s="224"/>
      <c r="B51" s="215" t="s">
        <v>405</v>
      </c>
      <c r="D51" s="216">
        <v>-2500</v>
      </c>
      <c r="E51" s="216"/>
      <c r="F51" s="217">
        <v>0</v>
      </c>
      <c r="G51" s="217"/>
      <c r="H51" s="217">
        <v>0</v>
      </c>
      <c r="I51" s="217"/>
      <c r="J51" s="217">
        <v>0</v>
      </c>
      <c r="K51" s="217"/>
      <c r="L51" s="216">
        <v>-366</v>
      </c>
      <c r="M51" s="216"/>
      <c r="N51" s="217">
        <v>0</v>
      </c>
      <c r="O51" s="217"/>
      <c r="P51" s="217">
        <v>0</v>
      </c>
      <c r="Q51" s="217"/>
      <c r="R51" s="216">
        <v>-2866</v>
      </c>
    </row>
    <row r="52" spans="1:18" ht="15.75">
      <c r="A52" s="225" t="s">
        <v>406</v>
      </c>
      <c r="B52" s="223" t="s">
        <v>406</v>
      </c>
      <c r="D52" s="232">
        <f>SUM(D48:D51)</f>
        <v>34561</v>
      </c>
      <c r="E52" s="699"/>
      <c r="F52" s="232">
        <f t="shared" ref="F52:R52" si="10">SUM(F48:F51)</f>
        <v>2848</v>
      </c>
      <c r="G52" s="699"/>
      <c r="H52" s="232">
        <f t="shared" si="10"/>
        <v>600</v>
      </c>
      <c r="I52" s="699"/>
      <c r="J52" s="232">
        <f t="shared" si="10"/>
        <v>8193</v>
      </c>
      <c r="K52" s="699"/>
      <c r="L52" s="232">
        <f t="shared" si="10"/>
        <v>13758</v>
      </c>
      <c r="M52" s="699"/>
      <c r="N52" s="370">
        <f t="shared" si="10"/>
        <v>0</v>
      </c>
      <c r="O52" s="217"/>
      <c r="P52" s="370">
        <f t="shared" si="10"/>
        <v>0</v>
      </c>
      <c r="Q52" s="217"/>
      <c r="R52" s="232">
        <f t="shared" si="10"/>
        <v>59960</v>
      </c>
    </row>
    <row r="53" spans="1:18" ht="15.75">
      <c r="A53" s="218" t="s">
        <v>412</v>
      </c>
      <c r="B53" s="216"/>
      <c r="C53" s="216"/>
      <c r="D53" s="216"/>
      <c r="E53" s="216"/>
      <c r="F53" s="216"/>
      <c r="G53" s="216"/>
      <c r="H53" s="216"/>
      <c r="I53" s="216"/>
      <c r="J53" s="216"/>
      <c r="K53" s="216"/>
      <c r="L53" s="216"/>
      <c r="M53" s="216"/>
      <c r="N53" s="216"/>
      <c r="O53" s="216"/>
      <c r="P53" s="216"/>
      <c r="Q53" s="216"/>
      <c r="R53" s="216"/>
    </row>
    <row r="54" spans="1:18" ht="16.5" thickBot="1">
      <c r="B54" s="225" t="s">
        <v>406</v>
      </c>
      <c r="D54" s="221">
        <f>D42-D52</f>
        <v>144273</v>
      </c>
      <c r="E54" s="218"/>
      <c r="F54" s="221">
        <f t="shared" ref="F54:R54" si="11">F42-F52</f>
        <v>42338</v>
      </c>
      <c r="G54" s="218"/>
      <c r="H54" s="221">
        <f t="shared" si="11"/>
        <v>11400</v>
      </c>
      <c r="I54" s="218"/>
      <c r="J54" s="221">
        <f t="shared" si="11"/>
        <v>2316</v>
      </c>
      <c r="K54" s="218"/>
      <c r="L54" s="221">
        <f t="shared" si="11"/>
        <v>10247</v>
      </c>
      <c r="M54" s="218"/>
      <c r="N54" s="221">
        <f t="shared" si="11"/>
        <v>7473</v>
      </c>
      <c r="O54" s="218"/>
      <c r="P54" s="221">
        <f t="shared" si="11"/>
        <v>1500</v>
      </c>
      <c r="Q54" s="218"/>
      <c r="R54" s="221">
        <f t="shared" si="11"/>
        <v>219547</v>
      </c>
    </row>
    <row r="55" spans="1:18" ht="16.5" thickTop="1">
      <c r="B55" s="224"/>
      <c r="D55" s="216"/>
      <c r="E55" s="216"/>
      <c r="F55" s="216"/>
      <c r="G55" s="216"/>
      <c r="H55" s="216"/>
      <c r="I55" s="216"/>
      <c r="J55" s="216"/>
      <c r="K55" s="216"/>
      <c r="L55" s="216"/>
      <c r="M55" s="216"/>
      <c r="N55" s="216"/>
      <c r="O55" s="216"/>
      <c r="P55" s="216"/>
      <c r="Q55" s="216"/>
      <c r="R55" s="216"/>
    </row>
    <row r="56" spans="1:18" ht="16.5" thickBot="1">
      <c r="B56" s="224" t="s">
        <v>413</v>
      </c>
      <c r="D56" s="222">
        <f>D37-D48</f>
        <v>120952</v>
      </c>
      <c r="E56" s="216"/>
      <c r="F56" s="222">
        <f t="shared" ref="F56:R56" si="12">F37-F48</f>
        <v>41635</v>
      </c>
      <c r="G56" s="216"/>
      <c r="H56" s="222">
        <f t="shared" si="12"/>
        <v>11700</v>
      </c>
      <c r="I56" s="216"/>
      <c r="J56" s="222">
        <f t="shared" si="12"/>
        <v>2699</v>
      </c>
      <c r="K56" s="216"/>
      <c r="L56" s="222">
        <f t="shared" si="12"/>
        <v>6344</v>
      </c>
      <c r="M56" s="216"/>
      <c r="N56" s="222">
        <f t="shared" si="12"/>
        <v>12734</v>
      </c>
      <c r="O56" s="216"/>
      <c r="P56" s="222">
        <f t="shared" si="12"/>
        <v>1300</v>
      </c>
      <c r="Q56" s="216"/>
      <c r="R56" s="222">
        <f t="shared" si="12"/>
        <v>197364</v>
      </c>
    </row>
    <row r="57" spans="1:18" ht="16.5" customHeight="1" thickTop="1">
      <c r="C57" s="226"/>
      <c r="D57" s="226"/>
      <c r="E57" s="226"/>
      <c r="F57" s="226"/>
      <c r="G57" s="226"/>
      <c r="H57" s="226"/>
      <c r="I57" s="226"/>
      <c r="J57" s="226"/>
      <c r="K57" s="226"/>
      <c r="L57" s="226"/>
      <c r="M57" s="226"/>
      <c r="N57" s="226"/>
      <c r="O57" s="226"/>
      <c r="P57" s="226"/>
      <c r="Q57" s="226"/>
      <c r="R57" s="226"/>
    </row>
    <row r="58" spans="1:18" ht="15.75">
      <c r="A58" s="227"/>
      <c r="B58" s="216" t="s">
        <v>415</v>
      </c>
      <c r="C58" s="216"/>
      <c r="D58" s="216"/>
      <c r="E58" s="216"/>
      <c r="F58" s="216"/>
      <c r="G58" s="216"/>
      <c r="H58" s="216"/>
      <c r="I58" s="216"/>
      <c r="J58" s="216"/>
      <c r="K58" s="216"/>
      <c r="L58" s="216"/>
      <c r="M58" s="216"/>
      <c r="N58" s="216"/>
      <c r="O58" s="216"/>
      <c r="P58" s="216"/>
      <c r="Q58" s="216"/>
      <c r="R58" s="228"/>
    </row>
    <row r="59" spans="1:18" ht="15.75">
      <c r="B59" s="215" t="s">
        <v>416</v>
      </c>
      <c r="C59" s="216"/>
      <c r="D59" s="216"/>
      <c r="E59" s="216"/>
      <c r="F59" s="216"/>
      <c r="G59" s="216"/>
      <c r="H59" s="216"/>
      <c r="I59" s="216"/>
      <c r="J59" s="216"/>
      <c r="K59" s="216"/>
      <c r="L59" s="216"/>
      <c r="M59" s="216"/>
      <c r="N59" s="216"/>
      <c r="O59" s="216"/>
      <c r="P59" s="216"/>
      <c r="Q59" s="216"/>
      <c r="R59" s="228"/>
    </row>
    <row r="60" spans="1:18" ht="31.5">
      <c r="B60" s="36" t="s">
        <v>417</v>
      </c>
    </row>
    <row r="61" spans="1:18" ht="15.75">
      <c r="B61" s="36" t="s">
        <v>418</v>
      </c>
      <c r="C61" s="35"/>
      <c r="D61" s="35"/>
      <c r="E61" s="700"/>
      <c r="F61" s="35"/>
      <c r="G61" s="700"/>
      <c r="H61" s="35"/>
      <c r="I61" s="700"/>
      <c r="J61" s="35"/>
      <c r="K61" s="700"/>
      <c r="L61" s="35"/>
      <c r="M61" s="700"/>
      <c r="N61" s="35"/>
      <c r="O61" s="700"/>
      <c r="P61" s="35"/>
      <c r="Q61" s="700"/>
      <c r="R61" s="35"/>
    </row>
    <row r="62" spans="1:18" ht="15.75" thickBot="1">
      <c r="B62" s="35" t="s">
        <v>413</v>
      </c>
      <c r="D62" s="37"/>
      <c r="E62" s="700"/>
      <c r="F62" s="38">
        <v>23200</v>
      </c>
      <c r="G62" s="704"/>
      <c r="H62" s="37"/>
      <c r="I62" s="700"/>
      <c r="J62" s="37"/>
      <c r="K62" s="700"/>
      <c r="L62" s="37"/>
      <c r="M62" s="700"/>
      <c r="N62" s="37"/>
      <c r="O62" s="700"/>
      <c r="P62" s="37"/>
      <c r="Q62" s="700"/>
      <c r="R62" s="37"/>
    </row>
    <row r="63" spans="1:18" ht="16.5" thickTop="1">
      <c r="B63" s="36"/>
      <c r="D63" s="35"/>
      <c r="E63" s="700"/>
      <c r="F63" s="39"/>
      <c r="G63" s="704"/>
      <c r="H63" s="35"/>
      <c r="I63" s="700"/>
      <c r="J63" s="35"/>
      <c r="K63" s="700"/>
      <c r="L63" s="35"/>
      <c r="M63" s="700"/>
      <c r="N63" s="35"/>
      <c r="O63" s="700"/>
      <c r="P63" s="35"/>
      <c r="Q63" s="700"/>
      <c r="R63" s="35"/>
    </row>
    <row r="64" spans="1:18" ht="15.75" thickBot="1">
      <c r="B64" s="35" t="s">
        <v>406</v>
      </c>
      <c r="D64" s="37"/>
      <c r="E64" s="700"/>
      <c r="F64" s="38">
        <v>24300</v>
      </c>
      <c r="G64" s="704"/>
      <c r="H64" s="37"/>
      <c r="I64" s="700"/>
      <c r="J64" s="37"/>
      <c r="K64" s="700"/>
      <c r="L64" s="37"/>
      <c r="M64" s="700"/>
      <c r="N64" s="37"/>
      <c r="O64" s="700"/>
      <c r="P64" s="37"/>
      <c r="Q64" s="700"/>
      <c r="R64" s="37"/>
    </row>
    <row r="65" spans="2:18" ht="15.75" thickTop="1">
      <c r="B65" s="229"/>
      <c r="C65" s="229"/>
      <c r="D65" s="229"/>
      <c r="E65" s="701"/>
      <c r="F65" s="229"/>
      <c r="G65" s="701"/>
      <c r="H65" s="229"/>
      <c r="I65" s="701"/>
      <c r="J65" s="229"/>
      <c r="K65" s="701"/>
      <c r="L65" s="229"/>
      <c r="M65" s="701"/>
      <c r="N65" s="229"/>
      <c r="O65" s="701"/>
      <c r="P65" s="229"/>
      <c r="Q65" s="701"/>
      <c r="R65" s="229"/>
    </row>
    <row r="66" spans="2:18" ht="15.75">
      <c r="B66" s="230" t="s">
        <v>419</v>
      </c>
      <c r="C66" s="207"/>
      <c r="D66" s="207"/>
      <c r="E66" s="702"/>
      <c r="F66" s="207"/>
      <c r="G66" s="702"/>
      <c r="H66" s="207"/>
      <c r="I66" s="702"/>
      <c r="J66" s="207"/>
      <c r="K66" s="702"/>
      <c r="L66" s="207"/>
      <c r="M66" s="702"/>
      <c r="N66" s="207"/>
      <c r="O66" s="702"/>
      <c r="P66" s="207"/>
      <c r="Q66" s="702"/>
      <c r="R66" s="207"/>
    </row>
    <row r="67" spans="2:18" ht="15.75">
      <c r="B67" s="230"/>
      <c r="C67" s="207"/>
      <c r="D67" s="207"/>
      <c r="E67" s="702"/>
      <c r="F67" s="207"/>
      <c r="G67" s="702"/>
      <c r="H67" s="207"/>
      <c r="I67" s="702"/>
      <c r="J67" s="207"/>
      <c r="K67" s="702"/>
      <c r="L67" s="207"/>
      <c r="M67" s="702"/>
      <c r="N67" s="207"/>
      <c r="O67" s="702"/>
      <c r="P67" s="207"/>
      <c r="Q67" s="702"/>
      <c r="R67" s="207"/>
    </row>
    <row r="68" spans="2:18" ht="15.75">
      <c r="B68" s="230" t="s">
        <v>420</v>
      </c>
      <c r="C68" s="207"/>
      <c r="D68" s="207"/>
      <c r="E68" s="702"/>
      <c r="F68" s="207"/>
      <c r="G68" s="702"/>
      <c r="H68" s="207"/>
      <c r="I68" s="702"/>
      <c r="J68" s="207"/>
      <c r="K68" s="702"/>
      <c r="L68" s="207"/>
      <c r="M68" s="702"/>
      <c r="N68" s="207"/>
      <c r="O68" s="702"/>
      <c r="P68" s="207"/>
      <c r="Q68" s="702"/>
      <c r="R68" s="207"/>
    </row>
    <row r="69" spans="2:18">
      <c r="B69" s="207"/>
      <c r="C69" s="207"/>
      <c r="D69" s="207"/>
      <c r="E69" s="702"/>
      <c r="F69" s="207"/>
      <c r="G69" s="702"/>
      <c r="H69" s="207"/>
      <c r="I69" s="702"/>
      <c r="J69" s="207"/>
      <c r="K69" s="702"/>
      <c r="L69" s="207"/>
      <c r="M69" s="702"/>
      <c r="N69" s="207"/>
      <c r="O69" s="702"/>
      <c r="P69" s="207"/>
      <c r="Q69" s="702"/>
      <c r="R69" s="207"/>
    </row>
    <row r="70" spans="2:18" ht="15.75">
      <c r="B70" s="19" t="s">
        <v>421</v>
      </c>
      <c r="C70" s="207"/>
      <c r="D70" s="207"/>
      <c r="E70" s="702"/>
      <c r="F70" s="207"/>
      <c r="G70" s="702"/>
      <c r="H70" s="207"/>
      <c r="I70" s="702"/>
      <c r="J70" s="207"/>
      <c r="K70" s="702"/>
      <c r="L70" s="207"/>
      <c r="M70" s="702"/>
      <c r="N70" s="207"/>
      <c r="O70" s="702"/>
      <c r="P70" s="207"/>
      <c r="Q70" s="702"/>
      <c r="R70" s="207"/>
    </row>
    <row r="71" spans="2:18" ht="15.75">
      <c r="B71" s="19"/>
      <c r="D71" s="21" t="s">
        <v>317</v>
      </c>
      <c r="E71" s="20"/>
      <c r="F71" s="20" t="s">
        <v>317</v>
      </c>
      <c r="G71" s="702"/>
      <c r="H71" s="207"/>
      <c r="I71" s="702"/>
      <c r="J71" s="207"/>
      <c r="K71" s="702"/>
      <c r="L71" s="207"/>
      <c r="M71" s="702"/>
      <c r="N71" s="207"/>
      <c r="O71" s="702"/>
      <c r="P71" s="207"/>
      <c r="Q71" s="702"/>
      <c r="R71" s="207"/>
    </row>
    <row r="72" spans="2:18" ht="15.75">
      <c r="B72" s="19"/>
      <c r="D72" s="28" t="s">
        <v>318</v>
      </c>
      <c r="E72" s="231"/>
      <c r="F72" s="231" t="s">
        <v>319</v>
      </c>
      <c r="G72" s="702"/>
      <c r="H72" s="207"/>
      <c r="I72" s="702"/>
      <c r="J72" s="207"/>
      <c r="K72" s="702"/>
      <c r="L72" s="207"/>
      <c r="M72" s="702"/>
      <c r="N72" s="207"/>
      <c r="O72" s="702"/>
      <c r="P72" s="207"/>
      <c r="Q72" s="702"/>
      <c r="R72" s="207"/>
    </row>
    <row r="73" spans="2:18" ht="15.75">
      <c r="B73" s="19"/>
      <c r="D73" s="21" t="s">
        <v>128</v>
      </c>
      <c r="E73" s="20"/>
      <c r="F73" s="20" t="s">
        <v>128</v>
      </c>
      <c r="G73" s="702"/>
      <c r="H73" s="207"/>
      <c r="I73" s="702"/>
      <c r="J73" s="207"/>
      <c r="K73" s="702"/>
      <c r="L73" s="207"/>
      <c r="M73" s="702"/>
      <c r="N73" s="207"/>
      <c r="O73" s="702"/>
      <c r="P73" s="207"/>
      <c r="Q73" s="702"/>
      <c r="R73" s="207"/>
    </row>
    <row r="74" spans="2:18" ht="15.75">
      <c r="B74" s="19" t="s">
        <v>409</v>
      </c>
      <c r="D74" s="19">
        <v>200</v>
      </c>
      <c r="E74" s="703"/>
      <c r="F74" s="19">
        <v>200</v>
      </c>
      <c r="G74" s="702"/>
      <c r="H74" s="207"/>
      <c r="I74" s="702"/>
      <c r="J74" s="207"/>
      <c r="K74" s="702"/>
      <c r="L74" s="207"/>
      <c r="M74" s="702"/>
      <c r="N74" s="207"/>
      <c r="O74" s="702"/>
      <c r="P74" s="207"/>
      <c r="Q74" s="702"/>
      <c r="R74" s="207"/>
    </row>
    <row r="75" spans="2:18" ht="15.75">
      <c r="B75" s="19" t="s">
        <v>422</v>
      </c>
      <c r="D75" s="19">
        <v>-160</v>
      </c>
      <c r="E75" s="703"/>
      <c r="F75" s="19">
        <v>-120</v>
      </c>
      <c r="G75" s="702"/>
      <c r="H75" s="207"/>
      <c r="I75" s="702"/>
      <c r="J75" s="207"/>
      <c r="K75" s="702"/>
      <c r="L75" s="207"/>
      <c r="M75" s="702"/>
      <c r="N75" s="207"/>
      <c r="O75" s="702"/>
      <c r="P75" s="207"/>
      <c r="Q75" s="702"/>
      <c r="R75" s="207"/>
    </row>
    <row r="76" spans="2:18" ht="15.75">
      <c r="B76" s="19" t="s">
        <v>423</v>
      </c>
      <c r="D76" s="19">
        <v>-40</v>
      </c>
      <c r="E76" s="703"/>
      <c r="F76" s="19">
        <v>-40</v>
      </c>
      <c r="G76" s="702"/>
      <c r="H76" s="207"/>
      <c r="I76" s="702"/>
      <c r="J76" s="207"/>
      <c r="K76" s="702"/>
      <c r="L76" s="207"/>
      <c r="M76" s="702"/>
      <c r="N76" s="207"/>
      <c r="O76" s="702"/>
      <c r="P76" s="207"/>
      <c r="Q76" s="702"/>
      <c r="R76" s="207"/>
    </row>
    <row r="77" spans="2:18" ht="15.75">
      <c r="B77" s="19" t="s">
        <v>412</v>
      </c>
      <c r="C77" s="19"/>
      <c r="D77" s="781">
        <f>SUM(D74:D76)</f>
        <v>0</v>
      </c>
      <c r="E77" s="703"/>
      <c r="F77" s="781">
        <f>SUM(F74:F76)</f>
        <v>40</v>
      </c>
      <c r="G77" s="702"/>
      <c r="H77" s="207"/>
      <c r="I77" s="702"/>
      <c r="J77" s="207"/>
      <c r="K77" s="702"/>
      <c r="L77" s="207"/>
      <c r="M77" s="702"/>
      <c r="N77" s="207"/>
      <c r="O77" s="702"/>
      <c r="P77" s="207"/>
      <c r="Q77" s="702"/>
      <c r="R77" s="207"/>
    </row>
    <row r="78" spans="2:18" ht="15.75">
      <c r="B78" s="19"/>
      <c r="C78" s="19"/>
      <c r="D78" s="19"/>
      <c r="E78" s="703"/>
      <c r="F78" s="207"/>
      <c r="G78" s="702"/>
      <c r="H78" s="207"/>
      <c r="I78" s="702"/>
      <c r="J78" s="207"/>
      <c r="K78" s="702"/>
      <c r="L78" s="207"/>
      <c r="M78" s="702"/>
      <c r="N78" s="207"/>
      <c r="O78" s="702"/>
      <c r="P78" s="207"/>
      <c r="Q78" s="702"/>
      <c r="R78" s="207"/>
    </row>
    <row r="79" spans="2:18" ht="15.75">
      <c r="B79" s="19" t="s">
        <v>1148</v>
      </c>
      <c r="C79" s="19"/>
      <c r="D79" s="19"/>
      <c r="E79" s="703"/>
      <c r="F79" s="207"/>
      <c r="G79" s="702"/>
      <c r="H79" s="207"/>
      <c r="I79" s="702"/>
      <c r="J79" s="207"/>
      <c r="K79" s="702"/>
      <c r="L79" s="207"/>
      <c r="M79" s="702"/>
      <c r="N79" s="207"/>
      <c r="O79" s="702"/>
      <c r="P79" s="207"/>
      <c r="Q79" s="702"/>
      <c r="R79" s="207"/>
    </row>
    <row r="80" spans="2:18" ht="15" customHeight="1">
      <c r="B80" s="817" t="s">
        <v>424</v>
      </c>
      <c r="C80" s="817"/>
      <c r="D80" s="817"/>
      <c r="E80" s="817"/>
      <c r="F80" s="817"/>
      <c r="G80" s="817"/>
      <c r="H80" s="817"/>
      <c r="I80" s="817"/>
      <c r="J80" s="817"/>
      <c r="K80" s="817"/>
      <c r="L80" s="817"/>
      <c r="M80" s="817"/>
      <c r="N80" s="817"/>
      <c r="O80" s="817"/>
      <c r="P80" s="817"/>
      <c r="Q80" s="817"/>
      <c r="R80" s="817"/>
    </row>
    <row r="81" spans="2:18" ht="15" customHeight="1">
      <c r="B81" s="817"/>
      <c r="C81" s="817"/>
      <c r="D81" s="817"/>
      <c r="E81" s="817"/>
      <c r="F81" s="817"/>
      <c r="G81" s="817"/>
      <c r="H81" s="817"/>
      <c r="I81" s="817"/>
      <c r="J81" s="817"/>
      <c r="K81" s="817"/>
      <c r="L81" s="817"/>
      <c r="M81" s="817"/>
      <c r="N81" s="817"/>
      <c r="O81" s="817"/>
      <c r="P81" s="817"/>
      <c r="Q81" s="817"/>
      <c r="R81" s="817"/>
    </row>
  </sheetData>
  <mergeCells count="1">
    <mergeCell ref="B80:R81"/>
  </mergeCells>
  <pageMargins left="0.70866141732283472" right="0.70866141732283472" top="0.74803149606299213" bottom="0.74803149606299213" header="0.31496062992125984" footer="0.31496062992125984"/>
  <pageSetup paperSize="9" scale="44" orientation="portrait" horizontalDpi="1200" verticalDpi="1200"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60" zoomScaleNormal="100" workbookViewId="0"/>
  </sheetViews>
  <sheetFormatPr defaultRowHeight="15"/>
  <cols>
    <col min="1" max="1" width="4.85546875" bestFit="1" customWidth="1"/>
    <col min="2" max="2" width="29.85546875" customWidth="1"/>
    <col min="3" max="3" width="15" customWidth="1"/>
    <col min="5" max="7" width="9.28515625" bestFit="1" customWidth="1"/>
    <col min="9" max="10" width="9.28515625" bestFit="1" customWidth="1"/>
  </cols>
  <sheetData>
    <row r="1" spans="1:11" ht="23.25">
      <c r="A1" s="11" t="s">
        <v>298</v>
      </c>
    </row>
    <row r="2" spans="1:11" ht="18">
      <c r="A2" s="12" t="s">
        <v>129</v>
      </c>
    </row>
    <row r="3" spans="1:11" ht="15.75" thickBot="1">
      <c r="A3" s="214"/>
      <c r="B3" s="214"/>
      <c r="C3" s="214"/>
      <c r="D3" s="214"/>
      <c r="E3" s="214"/>
      <c r="F3" s="214"/>
      <c r="G3" s="214"/>
      <c r="H3" s="214"/>
      <c r="I3" s="214"/>
      <c r="J3" s="214"/>
      <c r="K3" s="214"/>
    </row>
    <row r="5" spans="1:11" ht="15.75">
      <c r="A5" s="31">
        <v>13</v>
      </c>
      <c r="B5" s="713" t="s">
        <v>73</v>
      </c>
      <c r="C5" s="714"/>
      <c r="D5" s="714"/>
      <c r="E5" s="714"/>
      <c r="F5" s="714"/>
      <c r="G5" s="714"/>
      <c r="H5" s="714"/>
      <c r="I5" s="714"/>
      <c r="J5" s="714"/>
      <c r="K5" s="714"/>
    </row>
    <row r="6" spans="1:11">
      <c r="B6" s="714"/>
      <c r="C6" s="714"/>
      <c r="D6" s="714"/>
      <c r="E6" s="714"/>
      <c r="F6" s="714"/>
      <c r="G6" s="714"/>
      <c r="H6" s="714"/>
      <c r="I6" s="714"/>
      <c r="J6" s="714"/>
      <c r="K6" s="714"/>
    </row>
    <row r="7" spans="1:11">
      <c r="B7" s="715" t="s">
        <v>989</v>
      </c>
      <c r="C7" s="714"/>
      <c r="D7" s="714"/>
      <c r="E7" s="714"/>
      <c r="F7" s="714"/>
      <c r="G7" s="714"/>
      <c r="H7" s="714"/>
      <c r="I7" s="714"/>
      <c r="J7" s="714"/>
      <c r="K7" s="714"/>
    </row>
    <row r="8" spans="1:11">
      <c r="B8" s="715" t="s">
        <v>990</v>
      </c>
      <c r="C8" s="714"/>
      <c r="D8" s="714"/>
      <c r="E8" s="714"/>
      <c r="F8" s="714"/>
      <c r="G8" s="714"/>
      <c r="H8" s="714"/>
      <c r="I8" s="714"/>
      <c r="J8" s="714"/>
      <c r="K8" s="714"/>
    </row>
    <row r="9" spans="1:11">
      <c r="B9" s="715"/>
      <c r="C9" s="714"/>
      <c r="D9" s="714"/>
      <c r="E9" s="714"/>
      <c r="F9" s="714"/>
      <c r="G9" s="714"/>
      <c r="H9" s="714"/>
      <c r="I9" s="714"/>
      <c r="J9" s="714"/>
      <c r="K9" s="714"/>
    </row>
    <row r="10" spans="1:11">
      <c r="B10" s="715" t="s">
        <v>425</v>
      </c>
      <c r="C10" s="714"/>
      <c r="D10" s="714"/>
      <c r="E10" s="714"/>
      <c r="F10" s="714"/>
      <c r="G10" s="714"/>
      <c r="H10" s="714"/>
      <c r="I10" s="714"/>
      <c r="J10" s="714"/>
      <c r="K10" s="714"/>
    </row>
    <row r="11" spans="1:11">
      <c r="B11" s="716" t="s">
        <v>426</v>
      </c>
      <c r="C11" s="714"/>
      <c r="D11" s="714"/>
      <c r="E11" s="714"/>
      <c r="F11" s="714"/>
      <c r="G11" s="714"/>
      <c r="H11" s="714"/>
      <c r="I11" s="714"/>
      <c r="J11" s="714"/>
      <c r="K11" s="714"/>
    </row>
    <row r="12" spans="1:11">
      <c r="B12" s="714"/>
      <c r="C12" s="714"/>
      <c r="D12" s="714"/>
      <c r="E12" s="714"/>
      <c r="F12" s="714"/>
      <c r="G12" s="714"/>
      <c r="H12" s="714"/>
      <c r="I12" s="714"/>
      <c r="J12" s="714"/>
      <c r="K12" s="714"/>
    </row>
    <row r="13" spans="1:11">
      <c r="B13" s="714"/>
      <c r="C13" s="714"/>
      <c r="D13" s="714"/>
      <c r="E13" s="717" t="s">
        <v>427</v>
      </c>
      <c r="F13" s="718" t="s">
        <v>428</v>
      </c>
      <c r="G13" s="718" t="s">
        <v>429</v>
      </c>
      <c r="H13" s="719"/>
      <c r="I13" s="718" t="s">
        <v>430</v>
      </c>
      <c r="J13" s="718" t="s">
        <v>431</v>
      </c>
      <c r="K13" s="714"/>
    </row>
    <row r="14" spans="1:11">
      <c r="B14" s="714"/>
      <c r="C14" s="714"/>
      <c r="D14" s="714"/>
      <c r="E14" s="717" t="s">
        <v>128</v>
      </c>
      <c r="F14" s="717" t="s">
        <v>128</v>
      </c>
      <c r="G14" s="717" t="s">
        <v>128</v>
      </c>
      <c r="H14" s="719"/>
      <c r="I14" s="717" t="s">
        <v>128</v>
      </c>
      <c r="J14" s="717" t="s">
        <v>128</v>
      </c>
      <c r="K14" s="714"/>
    </row>
    <row r="15" spans="1:11">
      <c r="B15" s="714"/>
      <c r="C15" s="714"/>
      <c r="D15" s="714"/>
      <c r="E15" s="714"/>
      <c r="F15" s="714"/>
      <c r="G15" s="714"/>
      <c r="H15" s="714"/>
      <c r="I15" s="714"/>
      <c r="J15" s="714"/>
      <c r="K15" s="714"/>
    </row>
    <row r="16" spans="1:11">
      <c r="B16" s="720" t="s">
        <v>432</v>
      </c>
      <c r="C16" s="714"/>
      <c r="D16" s="714"/>
      <c r="E16" s="721">
        <v>200</v>
      </c>
      <c r="F16" s="721">
        <v>0</v>
      </c>
      <c r="G16" s="721">
        <v>214</v>
      </c>
      <c r="H16" s="722"/>
      <c r="I16" s="721">
        <v>73</v>
      </c>
      <c r="J16" s="721">
        <v>132</v>
      </c>
      <c r="K16" s="714"/>
    </row>
    <row r="17" spans="2:11">
      <c r="B17" s="720" t="s">
        <v>433</v>
      </c>
      <c r="C17" s="714"/>
      <c r="D17" s="714"/>
      <c r="E17" s="721">
        <v>0</v>
      </c>
      <c r="F17" s="721">
        <v>30</v>
      </c>
      <c r="G17" s="721">
        <v>0</v>
      </c>
      <c r="H17" s="722"/>
      <c r="I17" s="721">
        <v>73</v>
      </c>
      <c r="J17" s="721">
        <v>0</v>
      </c>
      <c r="K17" s="714"/>
    </row>
    <row r="18" spans="2:11">
      <c r="B18" s="714"/>
      <c r="C18" s="714"/>
      <c r="D18" s="714"/>
      <c r="E18" s="723"/>
      <c r="F18" s="723"/>
      <c r="G18" s="723"/>
      <c r="H18" s="722"/>
      <c r="I18" s="724"/>
      <c r="J18" s="724"/>
      <c r="K18" s="714"/>
    </row>
    <row r="19" spans="2:11">
      <c r="B19" s="714"/>
      <c r="C19" s="714"/>
      <c r="D19" s="714"/>
      <c r="E19" s="721"/>
      <c r="F19" s="721"/>
      <c r="G19" s="721"/>
      <c r="H19" s="722"/>
      <c r="I19" s="721"/>
      <c r="J19" s="721"/>
      <c r="K19" s="714"/>
    </row>
    <row r="20" spans="2:11">
      <c r="B20" s="725" t="s">
        <v>434</v>
      </c>
      <c r="C20" s="714"/>
      <c r="D20" s="714"/>
      <c r="E20" s="721">
        <f>SUM(E16:E19)</f>
        <v>200</v>
      </c>
      <c r="F20" s="721">
        <f t="shared" ref="F20:G20" si="0">SUM(F16:F19)</f>
        <v>30</v>
      </c>
      <c r="G20" s="721">
        <f t="shared" si="0"/>
        <v>214</v>
      </c>
      <c r="H20" s="722"/>
      <c r="I20" s="721">
        <f t="shared" ref="I20" si="1">SUM(I16:I19)</f>
        <v>146</v>
      </c>
      <c r="J20" s="721">
        <f t="shared" ref="J20" si="2">SUM(J16:J19)</f>
        <v>132</v>
      </c>
      <c r="K20" s="714"/>
    </row>
    <row r="21" spans="2:11">
      <c r="B21" s="725" t="s">
        <v>435</v>
      </c>
      <c r="C21" s="714"/>
      <c r="D21" s="714"/>
      <c r="E21" s="721">
        <f>200-E20</f>
        <v>0</v>
      </c>
      <c r="F21" s="721">
        <v>89</v>
      </c>
      <c r="G21" s="721"/>
      <c r="H21" s="722"/>
      <c r="I21" s="721">
        <v>150</v>
      </c>
      <c r="J21" s="721">
        <v>25</v>
      </c>
      <c r="K21" s="714"/>
    </row>
    <row r="22" spans="2:11">
      <c r="B22" s="714"/>
      <c r="C22" s="714"/>
      <c r="D22" s="714"/>
      <c r="E22" s="723"/>
      <c r="F22" s="723"/>
      <c r="G22" s="723"/>
      <c r="H22" s="722"/>
      <c r="I22" s="724"/>
      <c r="J22" s="724"/>
      <c r="K22" s="714"/>
    </row>
    <row r="23" spans="2:11">
      <c r="B23" s="714"/>
      <c r="C23" s="714"/>
      <c r="D23" s="714"/>
      <c r="E23" s="721"/>
      <c r="F23" s="721"/>
      <c r="G23" s="721"/>
      <c r="H23" s="722"/>
      <c r="I23" s="721"/>
      <c r="J23" s="721"/>
      <c r="K23" s="714"/>
    </row>
    <row r="24" spans="2:11">
      <c r="B24" s="720" t="s">
        <v>436</v>
      </c>
      <c r="C24" s="714"/>
      <c r="D24" s="714"/>
      <c r="E24" s="721">
        <f>SUM(E20:E23)</f>
        <v>200</v>
      </c>
      <c r="F24" s="721">
        <f t="shared" ref="F24:G24" si="3">SUM(F20:F23)</f>
        <v>119</v>
      </c>
      <c r="G24" s="721">
        <f t="shared" si="3"/>
        <v>214</v>
      </c>
      <c r="H24" s="722"/>
      <c r="I24" s="721">
        <f t="shared" ref="I24" si="4">SUM(I20:I23)</f>
        <v>296</v>
      </c>
      <c r="J24" s="721">
        <f t="shared" ref="J24" si="5">SUM(J20:J23)</f>
        <v>157</v>
      </c>
      <c r="K24" s="714"/>
    </row>
    <row r="25" spans="2:11">
      <c r="B25" s="714"/>
      <c r="C25" s="714"/>
      <c r="D25" s="714"/>
      <c r="E25" s="724"/>
      <c r="F25" s="724"/>
      <c r="G25" s="724"/>
      <c r="H25" s="722"/>
      <c r="I25" s="724"/>
      <c r="J25" s="724"/>
      <c r="K25" s="714"/>
    </row>
    <row r="26" spans="2:11">
      <c r="B26" s="714"/>
      <c r="C26" s="714"/>
      <c r="D26" s="714"/>
      <c r="E26" s="714"/>
      <c r="F26" s="714"/>
      <c r="G26" s="714"/>
      <c r="H26" s="714"/>
      <c r="I26" s="714"/>
      <c r="J26" s="714"/>
      <c r="K26" s="714"/>
    </row>
    <row r="27" spans="2:11" ht="15" customHeight="1">
      <c r="B27" s="818" t="s">
        <v>437</v>
      </c>
      <c r="C27" s="818"/>
      <c r="D27" s="818"/>
      <c r="E27" s="818"/>
      <c r="F27" s="818"/>
      <c r="G27" s="818"/>
      <c r="H27" s="818"/>
      <c r="I27" s="818"/>
      <c r="J27" s="818"/>
      <c r="K27" s="818"/>
    </row>
    <row r="28" spans="2:11" ht="15" customHeight="1">
      <c r="B28" s="818"/>
      <c r="C28" s="818"/>
      <c r="D28" s="818"/>
      <c r="E28" s="818"/>
      <c r="F28" s="818"/>
      <c r="G28" s="818"/>
      <c r="H28" s="818"/>
      <c r="I28" s="818"/>
      <c r="J28" s="818"/>
      <c r="K28" s="818"/>
    </row>
  </sheetData>
  <mergeCells count="1">
    <mergeCell ref="B27:K28"/>
  </mergeCells>
  <pageMargins left="0.70866141732283472" right="0.70866141732283472" top="0.74803149606299213" bottom="0.74803149606299213" header="0.31496062992125984" footer="0.31496062992125984"/>
  <pageSetup paperSize="9" scale="69" orientation="portrait" horizontalDpi="1200" verticalDpi="1200"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28" zoomScaleNormal="100" zoomScaleSheetLayoutView="100" workbookViewId="0">
      <selection activeCell="C53" sqref="C53"/>
    </sheetView>
  </sheetViews>
  <sheetFormatPr defaultRowHeight="15"/>
  <cols>
    <col min="1" max="1" width="4.140625" customWidth="1"/>
    <col min="9" max="9" width="11.5703125" customWidth="1"/>
  </cols>
  <sheetData>
    <row r="1" spans="1:12" ht="23.25">
      <c r="A1" s="11" t="s">
        <v>298</v>
      </c>
      <c r="B1" s="11"/>
      <c r="C1" s="11"/>
      <c r="D1" s="11"/>
      <c r="E1" s="11"/>
      <c r="F1" s="11"/>
      <c r="G1" s="11"/>
      <c r="H1" s="11"/>
      <c r="I1" s="11"/>
    </row>
    <row r="2" spans="1:12" ht="18">
      <c r="A2" s="12" t="s">
        <v>129</v>
      </c>
      <c r="B2" s="12"/>
      <c r="C2" s="12"/>
      <c r="D2" s="12"/>
      <c r="E2" s="12"/>
      <c r="F2" s="12"/>
      <c r="G2" s="12"/>
      <c r="H2" s="12"/>
      <c r="I2" s="12"/>
    </row>
    <row r="3" spans="1:12" ht="15.75" thickBot="1">
      <c r="A3" s="13"/>
      <c r="B3" s="13"/>
      <c r="C3" s="13"/>
      <c r="D3" s="13"/>
      <c r="E3" s="13"/>
      <c r="F3" s="13"/>
      <c r="G3" s="13"/>
      <c r="H3" s="13"/>
      <c r="I3" s="13"/>
      <c r="J3" s="13"/>
      <c r="K3" s="13"/>
      <c r="L3" s="13"/>
    </row>
    <row r="5" spans="1:12">
      <c r="A5" s="367">
        <v>14</v>
      </c>
      <c r="B5" s="16" t="s">
        <v>180</v>
      </c>
    </row>
    <row r="7" spans="1:12">
      <c r="B7" s="14" t="s">
        <v>438</v>
      </c>
    </row>
    <row r="8" spans="1:12">
      <c r="B8" s="14"/>
    </row>
    <row r="9" spans="1:12">
      <c r="B9" s="16" t="s">
        <v>439</v>
      </c>
    </row>
    <row r="11" spans="1:12">
      <c r="B11" s="14" t="s">
        <v>933</v>
      </c>
    </row>
    <row r="12" spans="1:12">
      <c r="B12" s="14" t="s">
        <v>932</v>
      </c>
    </row>
    <row r="14" spans="1:12">
      <c r="B14" s="16" t="s">
        <v>440</v>
      </c>
    </row>
    <row r="15" spans="1:12">
      <c r="B15" s="14"/>
    </row>
    <row r="16" spans="1:12">
      <c r="B16" s="14" t="s">
        <v>930</v>
      </c>
    </row>
    <row r="17" spans="2:8">
      <c r="B17" s="14" t="s">
        <v>931</v>
      </c>
    </row>
    <row r="19" spans="2:8">
      <c r="B19" s="16" t="s">
        <v>441</v>
      </c>
      <c r="C19" s="14"/>
      <c r="D19" s="14"/>
      <c r="E19" s="14"/>
      <c r="F19" s="14"/>
      <c r="G19" s="14"/>
      <c r="H19" s="14"/>
    </row>
    <row r="20" spans="2:8">
      <c r="B20" s="14"/>
      <c r="C20" s="14"/>
      <c r="D20" s="14"/>
      <c r="E20" s="14"/>
      <c r="F20" s="14"/>
      <c r="G20" s="14"/>
      <c r="H20" s="14"/>
    </row>
    <row r="21" spans="2:8">
      <c r="B21" s="14" t="s">
        <v>442</v>
      </c>
      <c r="C21" s="14"/>
      <c r="D21" s="14"/>
      <c r="E21" s="14"/>
      <c r="F21" s="14"/>
      <c r="G21" s="14"/>
      <c r="H21" s="14"/>
    </row>
    <row r="22" spans="2:8">
      <c r="B22" s="14"/>
      <c r="C22" s="14"/>
      <c r="D22" s="14"/>
      <c r="E22" s="14"/>
      <c r="F22" s="14"/>
      <c r="G22" s="14"/>
      <c r="H22" s="14"/>
    </row>
    <row r="23" spans="2:8">
      <c r="B23" s="14" t="s">
        <v>128</v>
      </c>
      <c r="C23" s="14"/>
      <c r="D23" s="14"/>
      <c r="E23" s="819" t="s">
        <v>443</v>
      </c>
      <c r="F23" s="819" t="s">
        <v>444</v>
      </c>
      <c r="G23" s="819" t="s">
        <v>445</v>
      </c>
      <c r="H23" s="820" t="s">
        <v>399</v>
      </c>
    </row>
    <row r="24" spans="2:8">
      <c r="B24" s="14"/>
      <c r="C24" s="14"/>
      <c r="D24" s="14"/>
      <c r="E24" s="819"/>
      <c r="F24" s="819"/>
      <c r="G24" s="819"/>
      <c r="H24" s="820"/>
    </row>
    <row r="25" spans="2:8">
      <c r="B25" s="14" t="s">
        <v>446</v>
      </c>
      <c r="C25" s="14"/>
      <c r="D25" s="14"/>
      <c r="E25" s="17">
        <v>1134</v>
      </c>
      <c r="F25" s="17">
        <v>4792</v>
      </c>
      <c r="G25" s="17">
        <v>3878</v>
      </c>
      <c r="H25" s="17">
        <f>SUM(E25:G25)</f>
        <v>9804</v>
      </c>
    </row>
    <row r="26" spans="2:8">
      <c r="B26" s="14" t="s">
        <v>447</v>
      </c>
      <c r="C26" s="14"/>
      <c r="D26" s="14"/>
      <c r="E26" s="17">
        <v>216</v>
      </c>
      <c r="F26" s="17">
        <v>608</v>
      </c>
      <c r="G26" s="17">
        <v>4792</v>
      </c>
      <c r="H26" s="17">
        <f t="shared" ref="H26:H27" si="0">SUM(E26:G26)</f>
        <v>5616</v>
      </c>
    </row>
    <row r="27" spans="2:8">
      <c r="B27" s="14" t="s">
        <v>448</v>
      </c>
      <c r="C27" s="14"/>
      <c r="D27" s="14"/>
      <c r="E27" s="17">
        <v>250</v>
      </c>
      <c r="F27" s="17">
        <v>1000</v>
      </c>
      <c r="G27" s="17">
        <v>750</v>
      </c>
      <c r="H27" s="17">
        <f t="shared" si="0"/>
        <v>2000</v>
      </c>
    </row>
    <row r="28" spans="2:8" ht="15.75" thickBot="1">
      <c r="B28" s="14"/>
      <c r="C28" s="14"/>
      <c r="D28" s="14"/>
      <c r="E28" s="18">
        <f>SUM(E25:E27)</f>
        <v>1600</v>
      </c>
      <c r="F28" s="18">
        <f t="shared" ref="F28:G28" si="1">SUM(F25:F27)</f>
        <v>6400</v>
      </c>
      <c r="G28" s="18">
        <f t="shared" si="1"/>
        <v>9420</v>
      </c>
      <c r="H28" s="18">
        <f>SUM(H25:H27)</f>
        <v>17420</v>
      </c>
    </row>
    <row r="29" spans="2:8" ht="15.75" thickTop="1"/>
    <row r="30" spans="2:8">
      <c r="B30" s="14" t="s">
        <v>449</v>
      </c>
      <c r="C30" s="14"/>
      <c r="D30" s="14"/>
      <c r="E30" s="14"/>
      <c r="F30" s="14"/>
      <c r="G30" s="14"/>
      <c r="H30" s="14"/>
    </row>
    <row r="31" spans="2:8">
      <c r="B31" s="14"/>
    </row>
    <row r="32" spans="2:8">
      <c r="B32" s="15" t="s">
        <v>450</v>
      </c>
    </row>
    <row r="33" spans="2:2">
      <c r="B33" s="14"/>
    </row>
    <row r="34" spans="2:2">
      <c r="B34" s="14" t="s">
        <v>451</v>
      </c>
    </row>
    <row r="35" spans="2:2">
      <c r="B35" s="14" t="s">
        <v>452</v>
      </c>
    </row>
    <row r="36" spans="2:2">
      <c r="B36" s="14"/>
    </row>
    <row r="37" spans="2:2">
      <c r="B37" s="14" t="s">
        <v>453</v>
      </c>
    </row>
    <row r="38" spans="2:2">
      <c r="B38" s="14"/>
    </row>
    <row r="39" spans="2:2">
      <c r="B39" s="14" t="s">
        <v>454</v>
      </c>
    </row>
    <row r="40" spans="2:2">
      <c r="B40" s="14"/>
    </row>
    <row r="41" spans="2:2">
      <c r="B41" s="14" t="s">
        <v>1011</v>
      </c>
    </row>
    <row r="42" spans="2:2">
      <c r="B42" s="14" t="s">
        <v>1012</v>
      </c>
    </row>
    <row r="43" spans="2:2">
      <c r="B43" s="14"/>
    </row>
    <row r="44" spans="2:2">
      <c r="B44" s="733" t="s">
        <v>1013</v>
      </c>
    </row>
    <row r="45" spans="2:2">
      <c r="B45" s="733"/>
    </row>
    <row r="46" spans="2:2">
      <c r="B46" s="14" t="s">
        <v>1014</v>
      </c>
    </row>
    <row r="47" spans="2:2">
      <c r="B47" s="733"/>
    </row>
  </sheetData>
  <mergeCells count="4">
    <mergeCell ref="E23:E24"/>
    <mergeCell ref="F23:F24"/>
    <mergeCell ref="G23:G24"/>
    <mergeCell ref="H23:H24"/>
  </mergeCells>
  <pageMargins left="0.70866141732283472" right="0.70866141732283472" top="0.74803149606299213" bottom="0.74803149606299213" header="0.31496062992125984" footer="0.31496062992125984"/>
  <pageSetup paperSize="9" scale="82" orientation="portrait" horizontalDpi="1200" verticalDpi="1200"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topLeftCell="A20" zoomScaleNormal="100" zoomScaleSheetLayoutView="100" workbookViewId="0">
      <selection activeCell="K40" sqref="K40"/>
    </sheetView>
  </sheetViews>
  <sheetFormatPr defaultRowHeight="15"/>
  <cols>
    <col min="1" max="1" width="4" customWidth="1"/>
    <col min="2" max="2" width="3.140625" customWidth="1"/>
    <col min="6" max="6" width="11.85546875" customWidth="1"/>
    <col min="7" max="7" width="11.28515625" customWidth="1"/>
    <col min="8" max="8" width="11" customWidth="1"/>
    <col min="9" max="12" width="13.140625" customWidth="1"/>
  </cols>
  <sheetData>
    <row r="1" spans="1:12" ht="23.25">
      <c r="A1" s="11" t="s">
        <v>298</v>
      </c>
    </row>
    <row r="2" spans="1:12" ht="18">
      <c r="A2" s="12" t="s">
        <v>129</v>
      </c>
    </row>
    <row r="3" spans="1:12" ht="15.75" thickBot="1">
      <c r="A3" s="214"/>
      <c r="B3" s="214"/>
      <c r="C3" s="214"/>
      <c r="D3" s="214"/>
      <c r="E3" s="214"/>
      <c r="F3" s="214"/>
      <c r="G3" s="214"/>
      <c r="H3" s="214"/>
      <c r="I3" s="214"/>
      <c r="J3" s="214"/>
      <c r="K3" s="214"/>
      <c r="L3" s="214"/>
    </row>
    <row r="5" spans="1:12">
      <c r="A5" s="268">
        <v>15</v>
      </c>
      <c r="B5" s="266" t="s">
        <v>455</v>
      </c>
    </row>
    <row r="6" spans="1:12">
      <c r="L6" s="271" t="s">
        <v>23</v>
      </c>
    </row>
    <row r="7" spans="1:12">
      <c r="B7" s="266" t="s">
        <v>456</v>
      </c>
    </row>
    <row r="8" spans="1:12">
      <c r="C8" s="171" t="s">
        <v>457</v>
      </c>
      <c r="L8" s="292">
        <v>5565</v>
      </c>
    </row>
    <row r="10" spans="1:12">
      <c r="B10" s="267" t="s">
        <v>458</v>
      </c>
    </row>
    <row r="11" spans="1:12">
      <c r="C11" t="s">
        <v>401</v>
      </c>
      <c r="L11" s="275">
        <v>-2134</v>
      </c>
    </row>
    <row r="12" spans="1:12">
      <c r="C12" t="s">
        <v>459</v>
      </c>
      <c r="L12" s="275">
        <v>-134</v>
      </c>
    </row>
    <row r="14" spans="1:12">
      <c r="C14" s="171" t="s">
        <v>406</v>
      </c>
      <c r="L14" s="276">
        <f>SUM(L11:L13)</f>
        <v>-2268</v>
      </c>
    </row>
    <row r="16" spans="1:12">
      <c r="B16" s="266" t="s">
        <v>460</v>
      </c>
    </row>
    <row r="17" spans="1:17" ht="15.75" thickBot="1">
      <c r="C17" s="171" t="s">
        <v>406</v>
      </c>
      <c r="L17" s="278">
        <f>+L8+L14</f>
        <v>3297</v>
      </c>
    </row>
    <row r="18" spans="1:17" ht="15.75" thickTop="1"/>
    <row r="19" spans="1:17" ht="15.75" thickBot="1">
      <c r="C19" t="s">
        <v>413</v>
      </c>
      <c r="L19" s="279">
        <v>3431</v>
      </c>
    </row>
    <row r="21" spans="1:17">
      <c r="C21" t="s">
        <v>461</v>
      </c>
    </row>
    <row r="23" spans="1:17">
      <c r="A23" s="266">
        <v>16</v>
      </c>
      <c r="B23" s="266" t="s">
        <v>462</v>
      </c>
    </row>
    <row r="25" spans="1:17" ht="38.25">
      <c r="C25" s="293" t="s">
        <v>21</v>
      </c>
      <c r="D25" s="266"/>
      <c r="E25" s="266"/>
      <c r="I25" s="294" t="s">
        <v>463</v>
      </c>
      <c r="J25" s="294" t="s">
        <v>464</v>
      </c>
      <c r="K25" s="294" t="s">
        <v>465</v>
      </c>
      <c r="L25" s="294" t="s">
        <v>399</v>
      </c>
      <c r="Q25" s="267"/>
    </row>
    <row r="26" spans="1:17">
      <c r="I26" s="296" t="s">
        <v>128</v>
      </c>
      <c r="J26" s="296" t="s">
        <v>128</v>
      </c>
      <c r="K26" s="296" t="s">
        <v>128</v>
      </c>
      <c r="L26" s="296" t="s">
        <v>128</v>
      </c>
    </row>
    <row r="27" spans="1:17">
      <c r="I27" s="735"/>
      <c r="J27" s="735"/>
      <c r="K27" s="735"/>
    </row>
    <row r="28" spans="1:17">
      <c r="C28" s="295" t="s">
        <v>401</v>
      </c>
      <c r="I28" s="365">
        <v>0</v>
      </c>
      <c r="J28" s="749">
        <v>75</v>
      </c>
      <c r="K28" s="749">
        <f>248</f>
        <v>248</v>
      </c>
      <c r="L28" s="261">
        <f>SUM(I28:K28)</f>
        <v>323</v>
      </c>
    </row>
    <row r="29" spans="1:17">
      <c r="C29" s="295"/>
      <c r="I29" s="365"/>
      <c r="J29" s="749"/>
      <c r="K29" s="749"/>
      <c r="L29" s="261"/>
    </row>
    <row r="30" spans="1:17">
      <c r="C30" s="734" t="s">
        <v>466</v>
      </c>
      <c r="I30" s="365">
        <v>0</v>
      </c>
      <c r="J30" s="365">
        <v>0</v>
      </c>
      <c r="K30" s="365">
        <v>0</v>
      </c>
      <c r="L30" s="365">
        <f>SUM(I30:K30)</f>
        <v>0</v>
      </c>
    </row>
    <row r="31" spans="1:17">
      <c r="C31" s="734" t="s">
        <v>405</v>
      </c>
      <c r="I31" s="365">
        <v>0</v>
      </c>
      <c r="J31" s="750">
        <v>-46</v>
      </c>
      <c r="K31" s="365">
        <v>0</v>
      </c>
      <c r="L31" s="369">
        <f>SUM(I31:K31)</f>
        <v>-46</v>
      </c>
    </row>
    <row r="32" spans="1:17">
      <c r="C32" s="734" t="s">
        <v>467</v>
      </c>
      <c r="I32" s="365">
        <v>0</v>
      </c>
      <c r="J32" s="365">
        <v>0</v>
      </c>
      <c r="K32" s="365">
        <v>0</v>
      </c>
      <c r="L32" s="261">
        <f>SUM(I32:K32)</f>
        <v>0</v>
      </c>
    </row>
    <row r="33" spans="3:12">
      <c r="C33" s="734"/>
      <c r="I33" s="365"/>
      <c r="J33" s="261"/>
      <c r="K33" s="261"/>
      <c r="L33" s="261"/>
    </row>
    <row r="34" spans="3:12" ht="15.75" thickBot="1">
      <c r="C34" s="295" t="s">
        <v>406</v>
      </c>
      <c r="I34" s="82">
        <f>SUM(I28:I33)</f>
        <v>0</v>
      </c>
      <c r="J34" s="82">
        <f>SUM(J28:J33)</f>
        <v>29</v>
      </c>
      <c r="K34" s="82">
        <f>SUM(K28:K33)</f>
        <v>248</v>
      </c>
      <c r="L34" s="82">
        <f t="shared" ref="L34" si="0">SUM(L28:L33)</f>
        <v>277</v>
      </c>
    </row>
    <row r="35" spans="3:12" ht="15.75" thickTop="1"/>
    <row r="37" spans="3:12">
      <c r="C37" s="295" t="s">
        <v>22</v>
      </c>
      <c r="D37" s="266"/>
      <c r="E37" s="266"/>
      <c r="F37" s="266"/>
      <c r="I37" s="297" t="s">
        <v>128</v>
      </c>
      <c r="J37" s="297" t="s">
        <v>128</v>
      </c>
      <c r="K37" s="297" t="s">
        <v>128</v>
      </c>
      <c r="L37" s="297" t="s">
        <v>128</v>
      </c>
    </row>
    <row r="38" spans="3:12">
      <c r="C38" s="295"/>
      <c r="D38" s="266"/>
      <c r="E38" s="266"/>
      <c r="F38" s="266"/>
      <c r="I38" s="261"/>
      <c r="J38" s="261"/>
      <c r="K38" s="261"/>
      <c r="L38" s="261"/>
    </row>
    <row r="39" spans="3:12">
      <c r="C39" s="295" t="s">
        <v>401</v>
      </c>
      <c r="D39" s="266"/>
      <c r="E39" s="266"/>
      <c r="F39" s="266"/>
      <c r="I39" s="749">
        <v>479</v>
      </c>
      <c r="J39" s="365">
        <v>0</v>
      </c>
      <c r="K39" s="749">
        <f>248</f>
        <v>248</v>
      </c>
      <c r="L39" s="261">
        <f>SUM(I39:K39)</f>
        <v>727</v>
      </c>
    </row>
    <row r="40" spans="3:12">
      <c r="C40" s="295"/>
      <c r="D40" s="266"/>
      <c r="E40" s="266"/>
      <c r="F40" s="266"/>
      <c r="I40" s="749"/>
      <c r="J40" s="749"/>
      <c r="K40" s="365"/>
      <c r="L40" s="261"/>
    </row>
    <row r="41" spans="3:12">
      <c r="C41" s="734" t="s">
        <v>466</v>
      </c>
      <c r="D41" s="266"/>
      <c r="E41" s="266"/>
      <c r="F41" s="266"/>
      <c r="I41" s="749">
        <v>8000</v>
      </c>
      <c r="J41" s="365">
        <v>0</v>
      </c>
      <c r="K41" s="365">
        <v>0</v>
      </c>
      <c r="L41" s="261">
        <f t="shared" ref="L41:L43" si="1">SUM(I41:K41)</f>
        <v>8000</v>
      </c>
    </row>
    <row r="42" spans="3:12">
      <c r="C42" s="734" t="s">
        <v>405</v>
      </c>
      <c r="D42" s="266"/>
      <c r="E42" s="266"/>
      <c r="F42" s="266"/>
      <c r="I42" s="365">
        <v>0</v>
      </c>
      <c r="J42" s="365">
        <v>0</v>
      </c>
      <c r="K42" s="365">
        <v>0</v>
      </c>
      <c r="L42" s="365">
        <f t="shared" si="1"/>
        <v>0</v>
      </c>
    </row>
    <row r="43" spans="3:12">
      <c r="C43" s="734" t="s">
        <v>467</v>
      </c>
      <c r="D43" s="266"/>
      <c r="E43" s="266"/>
      <c r="F43" s="266"/>
      <c r="I43" s="365">
        <v>0</v>
      </c>
      <c r="J43" s="365">
        <v>0</v>
      </c>
      <c r="K43" s="365">
        <v>0</v>
      </c>
      <c r="L43" s="365">
        <f t="shared" si="1"/>
        <v>0</v>
      </c>
    </row>
    <row r="44" spans="3:12">
      <c r="C44" s="734"/>
      <c r="D44" s="266"/>
      <c r="E44" s="266"/>
      <c r="F44" s="266"/>
      <c r="I44" s="261"/>
      <c r="J44" s="261"/>
      <c r="K44" s="261"/>
      <c r="L44" s="261"/>
    </row>
    <row r="45" spans="3:12" ht="15.75" thickBot="1">
      <c r="C45" s="295" t="s">
        <v>406</v>
      </c>
      <c r="D45" s="266"/>
      <c r="E45" s="266"/>
      <c r="F45" s="266"/>
      <c r="I45" s="82">
        <f>SUM(I39:I44)</f>
        <v>8479</v>
      </c>
      <c r="J45" s="82">
        <f t="shared" ref="J45:L45" si="2">SUM(J39:J44)</f>
        <v>0</v>
      </c>
      <c r="K45" s="82">
        <f t="shared" si="2"/>
        <v>248</v>
      </c>
      <c r="L45" s="82">
        <f t="shared" si="2"/>
        <v>8727</v>
      </c>
    </row>
    <row r="46" spans="3:12" ht="15.75" thickTop="1"/>
    <row r="47" spans="3:12">
      <c r="C47" s="267" t="s">
        <v>468</v>
      </c>
    </row>
    <row r="48" spans="3:12">
      <c r="C48" s="267" t="s">
        <v>469</v>
      </c>
    </row>
    <row r="49" spans="3:13">
      <c r="C49" s="266"/>
    </row>
    <row r="50" spans="3:13" ht="25.5">
      <c r="C50" s="734" t="s">
        <v>470</v>
      </c>
      <c r="D50" s="735"/>
      <c r="E50" s="735"/>
      <c r="F50" s="735"/>
      <c r="G50" s="735"/>
      <c r="H50" s="735"/>
      <c r="I50" s="735"/>
      <c r="J50" s="735"/>
      <c r="K50" s="735"/>
      <c r="L50" s="736" t="s">
        <v>471</v>
      </c>
    </row>
    <row r="51" spans="3:13">
      <c r="C51" s="734"/>
      <c r="D51" s="735"/>
      <c r="E51" s="735"/>
      <c r="F51" s="735"/>
      <c r="G51" s="735"/>
      <c r="H51" s="735"/>
      <c r="I51" s="735"/>
      <c r="J51" s="735"/>
      <c r="K51" s="735"/>
      <c r="L51" s="737" t="s">
        <v>128</v>
      </c>
    </row>
    <row r="52" spans="3:13">
      <c r="C52" s="267"/>
      <c r="D52" s="735"/>
      <c r="E52" s="735"/>
      <c r="F52" s="735"/>
      <c r="G52" s="735"/>
      <c r="H52" s="735"/>
      <c r="I52" s="735"/>
      <c r="J52" s="735"/>
      <c r="K52" s="735"/>
      <c r="L52" s="267"/>
    </row>
    <row r="53" spans="3:13">
      <c r="C53" s="267" t="s">
        <v>472</v>
      </c>
      <c r="D53" s="735"/>
      <c r="E53" s="735"/>
      <c r="F53" s="735"/>
      <c r="G53" s="735"/>
      <c r="H53" s="735"/>
      <c r="I53" s="735"/>
      <c r="J53" s="735"/>
      <c r="K53" s="735"/>
      <c r="L53" s="275">
        <v>42</v>
      </c>
    </row>
    <row r="54" spans="3:13">
      <c r="C54" s="267" t="s">
        <v>473</v>
      </c>
      <c r="D54" s="735"/>
      <c r="E54" s="735"/>
      <c r="F54" s="735"/>
      <c r="G54" s="735"/>
      <c r="H54" s="735"/>
      <c r="I54" s="735"/>
      <c r="J54" s="735"/>
      <c r="K54" s="735"/>
      <c r="L54" s="275">
        <v>6</v>
      </c>
    </row>
    <row r="55" spans="3:13">
      <c r="C55" s="267" t="s">
        <v>474</v>
      </c>
      <c r="D55" s="735"/>
      <c r="E55" s="735"/>
      <c r="F55" s="735"/>
      <c r="G55" s="735"/>
      <c r="H55" s="735"/>
      <c r="I55" s="735"/>
      <c r="J55" s="735"/>
      <c r="K55" s="735"/>
      <c r="L55" s="275">
        <v>200</v>
      </c>
    </row>
    <row r="56" spans="3:13" ht="15.75" thickBot="1">
      <c r="C56" s="735"/>
      <c r="D56" s="735"/>
      <c r="E56" s="735"/>
      <c r="F56" s="735"/>
      <c r="G56" s="735"/>
      <c r="H56" s="735"/>
      <c r="I56" s="735"/>
      <c r="J56" s="735"/>
      <c r="K56" s="735"/>
      <c r="L56" s="738">
        <f>SUM(L53:L55)</f>
        <v>248</v>
      </c>
    </row>
    <row r="57" spans="3:13" ht="15.75" thickTop="1">
      <c r="C57" s="735"/>
      <c r="D57" s="735"/>
      <c r="E57" s="735"/>
      <c r="F57" s="735"/>
      <c r="G57" s="735"/>
      <c r="H57" s="735"/>
      <c r="I57" s="735"/>
      <c r="J57" s="735"/>
      <c r="K57" s="735"/>
      <c r="L57" s="735"/>
    </row>
    <row r="58" spans="3:13">
      <c r="C58" s="368" t="s">
        <v>475</v>
      </c>
      <c r="D58" s="368"/>
      <c r="E58" s="368"/>
      <c r="F58" s="368"/>
      <c r="G58" s="368"/>
      <c r="H58" s="368"/>
      <c r="I58" s="368"/>
      <c r="J58" s="368"/>
      <c r="K58" s="368"/>
      <c r="L58" s="368"/>
      <c r="M58" s="368"/>
    </row>
  </sheetData>
  <pageMargins left="0.70866141732283472" right="0.70866141732283472" top="0.74803149606299213" bottom="0.74803149606299213" header="0.31496062992125984" footer="0.31496062992125984"/>
  <pageSetup paperSize="9" scale="71" orientation="portrait" horizontalDpi="1200" verticalDpi="1200" r:id="rId1"/>
  <headerFooter>
    <oddFooter>Page &amp;P of &amp;N</oddFooter>
  </headerFooter>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view="pageBreakPreview" zoomScale="85" zoomScaleNormal="100" zoomScaleSheetLayoutView="85" zoomScalePageLayoutView="70" workbookViewId="0">
      <selection activeCell="N1" sqref="N1"/>
    </sheetView>
  </sheetViews>
  <sheetFormatPr defaultColWidth="9.140625" defaultRowHeight="12.75"/>
  <cols>
    <col min="1" max="1" width="2.85546875" style="265" customWidth="1"/>
    <col min="2" max="2" width="2.7109375" style="265" customWidth="1"/>
    <col min="3" max="3" width="3.7109375" style="265" customWidth="1"/>
    <col min="4" max="4" width="5" style="265" customWidth="1"/>
    <col min="5" max="7" width="4.42578125" style="265" customWidth="1"/>
    <col min="8" max="8" width="3.85546875" style="265" customWidth="1"/>
    <col min="9" max="9" width="4.42578125" style="265" customWidth="1"/>
    <col min="10" max="10" width="24.5703125" style="265" customWidth="1"/>
    <col min="11" max="11" width="4.140625" style="265" customWidth="1"/>
    <col min="12" max="12" width="11.42578125" style="265" customWidth="1"/>
    <col min="13" max="13" width="2.85546875" style="265" customWidth="1"/>
    <col min="14" max="14" width="11.28515625" style="265" customWidth="1"/>
    <col min="15" max="15" width="0.28515625" style="265" hidden="1" customWidth="1"/>
    <col min="16" max="16" width="2.85546875" style="265" customWidth="1"/>
    <col min="17" max="17" width="12.140625" style="265" customWidth="1"/>
    <col min="18" max="18" width="2.85546875" style="265" customWidth="1"/>
    <col min="19" max="19" width="12.7109375" style="265" customWidth="1"/>
    <col min="20" max="20" width="1.5703125" style="265" customWidth="1"/>
    <col min="21" max="21" width="6.140625" style="265" hidden="1" customWidth="1"/>
    <col min="22" max="22" width="4.7109375" style="265" hidden="1" customWidth="1"/>
    <col min="23" max="23" width="1.28515625" style="265" hidden="1" customWidth="1"/>
    <col min="24" max="24" width="3.28515625" style="265" hidden="1" customWidth="1"/>
    <col min="25" max="16384" width="9.140625" style="265"/>
  </cols>
  <sheetData>
    <row r="1" spans="1:24" s="262" customFormat="1" ht="23.25">
      <c r="A1" s="262" t="s">
        <v>298</v>
      </c>
    </row>
    <row r="2" spans="1:24" s="263" customFormat="1" ht="18">
      <c r="A2" s="263" t="s">
        <v>129</v>
      </c>
    </row>
    <row r="3" spans="1:24" ht="13.5" thickBot="1">
      <c r="A3" s="287"/>
      <c r="B3" s="288"/>
      <c r="C3" s="288"/>
      <c r="D3" s="288"/>
      <c r="E3" s="288"/>
      <c r="F3" s="288"/>
      <c r="G3" s="288"/>
      <c r="H3" s="288"/>
      <c r="I3" s="288"/>
      <c r="J3" s="288"/>
      <c r="K3" s="288"/>
      <c r="L3" s="288"/>
      <c r="M3" s="288"/>
      <c r="N3" s="288"/>
      <c r="O3" s="288"/>
      <c r="P3" s="288"/>
      <c r="Q3" s="289"/>
      <c r="R3" s="288"/>
      <c r="S3" s="288"/>
      <c r="T3" s="290"/>
      <c r="U3" s="291"/>
      <c r="V3" s="264"/>
      <c r="W3" s="264"/>
    </row>
    <row r="4" spans="1:24">
      <c r="A4" s="267"/>
      <c r="B4" s="267"/>
      <c r="C4" s="267"/>
      <c r="D4" s="267"/>
      <c r="E4" s="267"/>
      <c r="F4" s="267"/>
      <c r="G4" s="267"/>
      <c r="H4" s="267"/>
      <c r="I4" s="267"/>
      <c r="J4" s="267"/>
      <c r="K4" s="267"/>
      <c r="L4" s="267"/>
      <c r="M4" s="267"/>
      <c r="N4" s="267"/>
      <c r="O4" s="267"/>
      <c r="P4" s="267"/>
      <c r="Q4" s="269"/>
      <c r="R4" s="267"/>
      <c r="S4" s="267"/>
      <c r="T4" s="267"/>
      <c r="U4" s="284"/>
      <c r="V4" s="267"/>
      <c r="W4" s="267"/>
      <c r="X4" s="267"/>
    </row>
    <row r="5" spans="1:24" s="267" customFormat="1" ht="12">
      <c r="A5" s="266">
        <v>17</v>
      </c>
      <c r="B5" s="266" t="s">
        <v>75</v>
      </c>
      <c r="C5" s="266"/>
      <c r="D5" s="266"/>
      <c r="E5" s="266"/>
      <c r="N5" s="284"/>
      <c r="O5" s="284"/>
      <c r="S5" s="269"/>
    </row>
    <row r="6" spans="1:24" s="267" customFormat="1" ht="12">
      <c r="N6" s="284"/>
      <c r="O6" s="284"/>
      <c r="S6" s="269"/>
    </row>
    <row r="7" spans="1:24" s="267" customFormat="1" ht="51.75" customHeight="1">
      <c r="B7" s="821" t="s">
        <v>476</v>
      </c>
      <c r="C7" s="821"/>
      <c r="D7" s="821"/>
      <c r="E7" s="821"/>
      <c r="F7" s="821"/>
      <c r="G7" s="821"/>
      <c r="H7" s="821"/>
      <c r="I7" s="821"/>
      <c r="J7" s="821"/>
      <c r="K7" s="821"/>
      <c r="L7" s="821"/>
      <c r="M7" s="821"/>
      <c r="N7" s="821"/>
      <c r="O7" s="821"/>
      <c r="P7" s="821"/>
      <c r="Q7" s="821"/>
      <c r="R7" s="821"/>
      <c r="S7" s="821"/>
    </row>
    <row r="8" spans="1:24">
      <c r="A8" s="267"/>
      <c r="B8" s="266"/>
      <c r="C8" s="267"/>
      <c r="D8" s="267"/>
      <c r="E8" s="267"/>
      <c r="F8" s="267"/>
      <c r="G8" s="267"/>
      <c r="H8" s="267"/>
      <c r="I8" s="267"/>
      <c r="J8" s="267"/>
      <c r="K8" s="267"/>
      <c r="L8" s="267"/>
      <c r="M8" s="267"/>
      <c r="N8" s="267"/>
      <c r="O8" s="267"/>
      <c r="P8" s="267"/>
      <c r="Q8" s="267"/>
      <c r="R8" s="267"/>
      <c r="S8" s="267"/>
      <c r="T8" s="267"/>
      <c r="U8" s="267"/>
      <c r="V8" s="267"/>
      <c r="W8" s="267"/>
      <c r="X8" s="267"/>
    </row>
    <row r="9" spans="1:24" s="267" customFormat="1" ht="12">
      <c r="B9" s="338"/>
      <c r="C9" s="338"/>
      <c r="D9" s="338"/>
      <c r="E9" s="338"/>
      <c r="F9" s="338"/>
      <c r="G9" s="338"/>
      <c r="H9" s="338"/>
      <c r="I9" s="338"/>
      <c r="J9" s="338"/>
      <c r="K9" s="338"/>
      <c r="L9" s="338"/>
      <c r="M9" s="338"/>
      <c r="N9" s="338"/>
      <c r="O9" s="338"/>
      <c r="P9" s="338"/>
      <c r="Q9" s="338"/>
      <c r="R9" s="338"/>
      <c r="S9" s="338"/>
    </row>
    <row r="10" spans="1:24" s="267" customFormat="1" ht="12">
      <c r="B10" s="338"/>
      <c r="C10" s="338"/>
      <c r="D10" s="338"/>
      <c r="E10" s="338"/>
      <c r="F10" s="338"/>
      <c r="G10" s="338"/>
      <c r="H10" s="338"/>
      <c r="I10" s="338"/>
      <c r="J10" s="338"/>
      <c r="K10" s="338"/>
      <c r="L10" s="822" t="s">
        <v>18</v>
      </c>
      <c r="M10" s="822"/>
      <c r="N10" s="822"/>
      <c r="O10" s="338"/>
      <c r="P10" s="338"/>
      <c r="Q10" s="823" t="s">
        <v>19</v>
      </c>
      <c r="R10" s="823"/>
      <c r="S10" s="823"/>
    </row>
    <row r="11" spans="1:24" s="267" customFormat="1" ht="12">
      <c r="J11" s="266"/>
      <c r="K11" s="266"/>
      <c r="L11" s="271" t="s">
        <v>128</v>
      </c>
      <c r="M11" s="271"/>
      <c r="N11" s="271" t="s">
        <v>128</v>
      </c>
      <c r="O11" s="269"/>
      <c r="P11" s="269"/>
      <c r="Q11" s="269" t="s">
        <v>128</v>
      </c>
      <c r="R11" s="269"/>
      <c r="S11" s="269" t="s">
        <v>128</v>
      </c>
    </row>
    <row r="12" spans="1:24" s="267" customFormat="1" ht="12">
      <c r="B12" s="266" t="s">
        <v>477</v>
      </c>
      <c r="J12" s="266"/>
      <c r="K12" s="266"/>
      <c r="L12" s="266"/>
      <c r="M12" s="266"/>
      <c r="N12" s="266"/>
    </row>
    <row r="13" spans="1:24" s="267" customFormat="1" ht="12">
      <c r="J13" s="266"/>
      <c r="K13" s="266"/>
      <c r="L13" s="266"/>
      <c r="M13" s="266"/>
      <c r="N13" s="266"/>
    </row>
    <row r="14" spans="1:24" s="267" customFormat="1" ht="12">
      <c r="B14" s="267" t="s">
        <v>11</v>
      </c>
      <c r="J14" s="266"/>
      <c r="K14" s="266"/>
      <c r="N14" s="298">
        <v>2100</v>
      </c>
      <c r="O14" s="266"/>
      <c r="P14" s="266"/>
      <c r="S14" s="292">
        <v>1805</v>
      </c>
    </row>
    <row r="15" spans="1:24" s="267" customFormat="1" ht="12">
      <c r="J15" s="266"/>
      <c r="K15" s="266"/>
      <c r="N15" s="266"/>
      <c r="O15" s="266"/>
      <c r="P15" s="266"/>
    </row>
    <row r="16" spans="1:24" s="267" customFormat="1" ht="12">
      <c r="B16" s="267" t="s">
        <v>478</v>
      </c>
      <c r="J16" s="266"/>
      <c r="K16" s="266"/>
      <c r="N16" s="298">
        <v>-311</v>
      </c>
      <c r="O16" s="266"/>
      <c r="P16" s="266"/>
      <c r="S16" s="292">
        <v>-150</v>
      </c>
    </row>
    <row r="17" spans="2:19" s="267" customFormat="1" ht="12">
      <c r="J17" s="266"/>
      <c r="K17" s="266"/>
      <c r="L17" s="277"/>
      <c r="M17" s="277"/>
      <c r="N17" s="277"/>
      <c r="Q17" s="275"/>
      <c r="R17" s="275"/>
      <c r="S17" s="275"/>
    </row>
    <row r="18" spans="2:19" s="267" customFormat="1" ht="12">
      <c r="B18" s="266" t="s">
        <v>479</v>
      </c>
      <c r="J18" s="266"/>
      <c r="K18" s="266"/>
      <c r="L18" s="277"/>
      <c r="M18" s="277"/>
      <c r="N18" s="277"/>
      <c r="Q18" s="275"/>
      <c r="R18" s="275"/>
      <c r="S18" s="275"/>
    </row>
    <row r="19" spans="2:19" s="267" customFormat="1" ht="12">
      <c r="J19" s="266"/>
      <c r="K19" s="266"/>
      <c r="L19" s="277"/>
      <c r="M19" s="277"/>
      <c r="N19" s="277"/>
      <c r="Q19" s="275"/>
      <c r="R19" s="275"/>
      <c r="S19" s="275"/>
    </row>
    <row r="20" spans="2:19" s="267" customFormat="1" ht="12">
      <c r="B20" s="267" t="s">
        <v>72</v>
      </c>
      <c r="J20" s="266"/>
      <c r="K20" s="266"/>
      <c r="L20" s="277">
        <v>1991</v>
      </c>
      <c r="M20" s="277"/>
      <c r="N20" s="277"/>
      <c r="Q20" s="275">
        <v>2430</v>
      </c>
      <c r="R20" s="275"/>
      <c r="S20" s="275"/>
    </row>
    <row r="21" spans="2:19" s="267" customFormat="1" ht="12">
      <c r="J21" s="266"/>
      <c r="K21" s="266"/>
      <c r="L21" s="277"/>
      <c r="M21" s="277"/>
      <c r="N21" s="277"/>
      <c r="Q21" s="275"/>
      <c r="R21" s="275"/>
      <c r="S21" s="275"/>
    </row>
    <row r="22" spans="2:19" s="267" customFormat="1" ht="12">
      <c r="B22" s="267" t="s">
        <v>77</v>
      </c>
      <c r="J22" s="266"/>
      <c r="K22" s="266"/>
      <c r="L22" s="298">
        <v>235</v>
      </c>
      <c r="M22" s="277"/>
      <c r="N22" s="277"/>
      <c r="Q22" s="292">
        <v>195</v>
      </c>
      <c r="R22" s="275"/>
      <c r="S22" s="275"/>
    </row>
    <row r="23" spans="2:19" s="267" customFormat="1" ht="12">
      <c r="J23" s="266"/>
      <c r="K23" s="266"/>
      <c r="L23" s="277"/>
      <c r="M23" s="277"/>
      <c r="N23" s="298">
        <f>SUM(L20:L22)</f>
        <v>2226</v>
      </c>
      <c r="Q23" s="275"/>
      <c r="R23" s="275"/>
      <c r="S23" s="292">
        <f>SUM(Q20:Q22)</f>
        <v>2625</v>
      </c>
    </row>
    <row r="24" spans="2:19" s="267" customFormat="1" ht="12">
      <c r="J24" s="266"/>
      <c r="K24" s="266"/>
      <c r="L24" s="277"/>
      <c r="M24" s="277"/>
      <c r="N24" s="277"/>
      <c r="Q24" s="275"/>
      <c r="R24" s="275"/>
      <c r="S24" s="275"/>
    </row>
    <row r="25" spans="2:19" s="267" customFormat="1" ht="12">
      <c r="B25" s="267" t="s">
        <v>480</v>
      </c>
      <c r="J25" s="266"/>
      <c r="K25" s="266"/>
      <c r="L25" s="277">
        <v>-922</v>
      </c>
      <c r="M25" s="277"/>
      <c r="N25" s="277"/>
      <c r="Q25" s="275">
        <v>-1105</v>
      </c>
      <c r="R25" s="275"/>
      <c r="S25" s="275"/>
    </row>
    <row r="26" spans="2:19" s="267" customFormat="1" ht="12">
      <c r="J26" s="266"/>
      <c r="K26" s="266"/>
      <c r="L26" s="277"/>
      <c r="M26" s="277"/>
      <c r="N26" s="277"/>
      <c r="Q26" s="275"/>
      <c r="R26" s="275"/>
      <c r="S26" s="275"/>
    </row>
    <row r="27" spans="2:19" s="267" customFormat="1" ht="12">
      <c r="B27" s="267" t="s">
        <v>481</v>
      </c>
      <c r="J27" s="266"/>
      <c r="K27" s="266"/>
      <c r="L27" s="298">
        <v>-45</v>
      </c>
      <c r="M27" s="277"/>
      <c r="N27" s="277"/>
      <c r="Q27" s="292">
        <v>-50</v>
      </c>
      <c r="R27" s="275"/>
      <c r="S27" s="275"/>
    </row>
    <row r="28" spans="2:19" s="267" customFormat="1" ht="12">
      <c r="J28" s="266"/>
      <c r="K28" s="266"/>
      <c r="L28" s="277"/>
      <c r="M28" s="277"/>
      <c r="N28" s="298">
        <f>SUM(L25:L27)</f>
        <v>-967</v>
      </c>
      <c r="Q28" s="275"/>
      <c r="R28" s="275"/>
      <c r="S28" s="292">
        <f>SUM(Q25:Q27)</f>
        <v>-1155</v>
      </c>
    </row>
    <row r="29" spans="2:19" s="267" customFormat="1" ht="12">
      <c r="J29" s="266"/>
      <c r="K29" s="266"/>
      <c r="L29" s="277"/>
      <c r="M29" s="277"/>
      <c r="N29" s="277"/>
      <c r="Q29" s="275"/>
      <c r="R29" s="275"/>
      <c r="S29" s="275"/>
    </row>
    <row r="30" spans="2:19" s="267" customFormat="1" thickBot="1">
      <c r="B30" s="266" t="s">
        <v>482</v>
      </c>
      <c r="J30" s="266"/>
      <c r="K30" s="266"/>
      <c r="L30" s="277"/>
      <c r="M30" s="277"/>
      <c r="N30" s="83">
        <f>SUM(N23:N28)</f>
        <v>1259</v>
      </c>
      <c r="O30" s="283"/>
      <c r="Q30" s="275"/>
      <c r="R30" s="275"/>
      <c r="S30" s="84">
        <f>SUM(S23:S28)</f>
        <v>1470</v>
      </c>
    </row>
    <row r="31" spans="2:19" s="267" customFormat="1" thickTop="1"/>
    <row r="32" spans="2:19" s="267" customFormat="1" ht="12"/>
    <row r="33" spans="1:24" s="267" customFormat="1" ht="12">
      <c r="B33" s="267" t="s">
        <v>483</v>
      </c>
    </row>
    <row r="34" spans="1:24" s="267" customFormat="1" ht="12">
      <c r="B34" s="267" t="s">
        <v>484</v>
      </c>
    </row>
    <row r="35" spans="1:24" s="267" customFormat="1" ht="12">
      <c r="C35" s="267" t="s">
        <v>485</v>
      </c>
    </row>
    <row r="36" spans="1:24" s="267" customFormat="1" ht="12">
      <c r="C36" s="267" t="s">
        <v>486</v>
      </c>
    </row>
    <row r="37" spans="1:24" s="267" customFormat="1" ht="12">
      <c r="B37" s="239" t="s">
        <v>487</v>
      </c>
      <c r="C37" s="239"/>
      <c r="D37" s="239"/>
      <c r="E37" s="239"/>
      <c r="F37" s="239"/>
      <c r="G37" s="239"/>
      <c r="H37" s="239"/>
      <c r="I37" s="239"/>
      <c r="J37" s="239"/>
      <c r="K37" s="239"/>
      <c r="L37" s="239"/>
      <c r="M37" s="239"/>
      <c r="N37" s="239"/>
      <c r="O37" s="239"/>
      <c r="P37" s="239"/>
      <c r="Q37" s="239"/>
      <c r="R37" s="239"/>
      <c r="S37" s="239"/>
      <c r="T37" s="239"/>
    </row>
    <row r="38" spans="1:24">
      <c r="A38" s="267"/>
      <c r="B38" s="239" t="s">
        <v>488</v>
      </c>
      <c r="C38" s="239"/>
      <c r="D38" s="239"/>
      <c r="E38" s="239"/>
      <c r="F38" s="239"/>
      <c r="G38" s="239"/>
      <c r="H38" s="239"/>
      <c r="I38" s="239"/>
      <c r="J38" s="239"/>
      <c r="K38" s="239"/>
      <c r="L38" s="239"/>
      <c r="M38" s="239"/>
      <c r="N38" s="239"/>
      <c r="O38" s="239"/>
      <c r="P38" s="239"/>
      <c r="Q38" s="239"/>
      <c r="R38" s="239"/>
      <c r="S38" s="239"/>
      <c r="T38" s="239"/>
      <c r="U38" s="267"/>
      <c r="V38" s="267"/>
      <c r="W38" s="267"/>
      <c r="X38" s="267"/>
    </row>
    <row r="39" spans="1:24">
      <c r="A39" s="267"/>
      <c r="B39" s="266"/>
      <c r="C39" s="267"/>
      <c r="D39" s="266" t="s">
        <v>362</v>
      </c>
      <c r="E39" s="266"/>
      <c r="F39" s="266"/>
      <c r="G39" s="266"/>
      <c r="H39" s="266"/>
      <c r="I39" s="266"/>
      <c r="J39" s="266"/>
      <c r="K39" s="267"/>
      <c r="L39" s="267"/>
      <c r="M39" s="267"/>
      <c r="N39" s="267"/>
      <c r="O39" s="267"/>
      <c r="P39" s="267"/>
      <c r="Q39" s="267"/>
      <c r="R39" s="267"/>
      <c r="S39" s="267"/>
      <c r="T39" s="267"/>
      <c r="U39" s="267"/>
      <c r="V39" s="267"/>
      <c r="W39" s="267"/>
      <c r="X39" s="267"/>
    </row>
    <row r="40" spans="1:24">
      <c r="A40" s="267"/>
      <c r="B40" s="266"/>
      <c r="C40" s="267"/>
      <c r="D40" s="266" t="s">
        <v>362</v>
      </c>
      <c r="E40" s="266"/>
      <c r="F40" s="266"/>
      <c r="G40" s="266"/>
      <c r="H40" s="266"/>
      <c r="I40" s="266"/>
      <c r="J40" s="266"/>
      <c r="K40" s="267"/>
      <c r="L40" s="267"/>
      <c r="M40" s="267"/>
      <c r="N40" s="267"/>
      <c r="O40" s="267"/>
      <c r="P40" s="267"/>
      <c r="Q40" s="267"/>
      <c r="R40" s="267"/>
      <c r="S40" s="267"/>
      <c r="T40" s="267"/>
      <c r="U40" s="267"/>
      <c r="V40" s="267"/>
      <c r="W40" s="267"/>
      <c r="X40" s="267"/>
    </row>
    <row r="41" spans="1:24">
      <c r="A41" s="267"/>
      <c r="B41" s="266"/>
      <c r="C41" s="267"/>
      <c r="D41" s="267"/>
      <c r="E41" s="267"/>
      <c r="F41" s="267"/>
      <c r="G41" s="267"/>
      <c r="H41" s="267"/>
      <c r="I41" s="267"/>
      <c r="J41" s="267"/>
      <c r="K41" s="267"/>
      <c r="L41" s="267"/>
      <c r="M41" s="267"/>
      <c r="N41" s="267"/>
      <c r="O41" s="267"/>
      <c r="P41" s="267"/>
      <c r="Q41" s="267"/>
      <c r="R41" s="267"/>
      <c r="S41" s="267"/>
      <c r="T41" s="267"/>
      <c r="U41" s="267"/>
      <c r="V41" s="267"/>
      <c r="W41" s="267"/>
      <c r="X41" s="267"/>
    </row>
    <row r="42" spans="1:24" s="267" customFormat="1" ht="12">
      <c r="A42" s="266">
        <v>18</v>
      </c>
      <c r="B42" s="266" t="s">
        <v>489</v>
      </c>
      <c r="C42" s="266"/>
      <c r="D42" s="266"/>
      <c r="E42" s="266"/>
      <c r="N42" s="284"/>
      <c r="O42" s="284"/>
      <c r="S42" s="269"/>
    </row>
    <row r="43" spans="1:24" s="299" customFormat="1">
      <c r="A43" s="267"/>
      <c r="B43" s="267"/>
      <c r="C43" s="267"/>
      <c r="D43" s="267"/>
      <c r="E43" s="267"/>
      <c r="F43" s="267"/>
      <c r="G43" s="267"/>
      <c r="H43" s="267"/>
      <c r="I43" s="267"/>
      <c r="J43" s="267"/>
      <c r="K43" s="267"/>
      <c r="L43" s="267"/>
      <c r="M43" s="267"/>
      <c r="N43" s="267"/>
      <c r="O43" s="267"/>
      <c r="P43" s="267"/>
      <c r="Q43" s="267"/>
      <c r="R43" s="267"/>
      <c r="S43" s="267"/>
      <c r="T43" s="267"/>
      <c r="U43" s="267"/>
      <c r="V43" s="267"/>
      <c r="W43" s="267"/>
      <c r="X43" s="267"/>
    </row>
    <row r="44" spans="1:24" s="299" customFormat="1">
      <c r="A44" s="267"/>
      <c r="B44" s="267" t="s">
        <v>490</v>
      </c>
      <c r="C44" s="267"/>
      <c r="D44" s="267"/>
      <c r="E44" s="267"/>
      <c r="F44" s="267"/>
      <c r="G44" s="267"/>
      <c r="H44" s="267"/>
      <c r="I44" s="267"/>
      <c r="J44" s="267"/>
      <c r="K44" s="267"/>
      <c r="L44" s="267"/>
      <c r="M44" s="267"/>
      <c r="N44" s="267"/>
      <c r="O44" s="267"/>
      <c r="P44" s="267"/>
      <c r="Q44" s="267"/>
      <c r="R44" s="267"/>
      <c r="S44" s="267"/>
      <c r="T44" s="267"/>
      <c r="U44" s="267"/>
      <c r="V44" s="267"/>
      <c r="W44" s="267"/>
      <c r="X44" s="267"/>
    </row>
    <row r="45" spans="1:24" s="299" customFormat="1">
      <c r="A45" s="267"/>
      <c r="B45" s="267"/>
      <c r="C45" s="267"/>
      <c r="D45" s="267"/>
      <c r="E45" s="267"/>
      <c r="F45" s="267"/>
      <c r="G45" s="267"/>
      <c r="H45" s="267"/>
      <c r="I45" s="267"/>
      <c r="J45" s="267"/>
      <c r="K45" s="267"/>
      <c r="L45" s="267"/>
      <c r="M45" s="267"/>
      <c r="N45" s="267"/>
      <c r="O45" s="267"/>
      <c r="P45" s="267"/>
      <c r="Q45" s="267"/>
      <c r="R45" s="267"/>
      <c r="S45" s="267"/>
      <c r="T45" s="267"/>
      <c r="U45" s="267"/>
      <c r="V45" s="267"/>
      <c r="W45" s="267"/>
      <c r="X45" s="267"/>
    </row>
    <row r="46" spans="1:24" s="286" customFormat="1">
      <c r="A46" s="266"/>
      <c r="B46" s="266" t="s">
        <v>491</v>
      </c>
      <c r="C46" s="266"/>
      <c r="D46" s="266"/>
      <c r="E46" s="266"/>
      <c r="F46" s="266"/>
      <c r="G46" s="266"/>
      <c r="H46" s="266"/>
      <c r="I46" s="266"/>
      <c r="J46" s="266"/>
      <c r="K46" s="266"/>
      <c r="L46" s="266"/>
      <c r="M46" s="266"/>
      <c r="N46" s="266"/>
      <c r="O46" s="266"/>
      <c r="P46" s="266"/>
      <c r="Q46" s="266"/>
      <c r="R46" s="266"/>
      <c r="S46" s="266"/>
      <c r="T46" s="266"/>
      <c r="U46" s="266"/>
      <c r="V46" s="266"/>
      <c r="W46" s="266"/>
      <c r="X46" s="266"/>
    </row>
    <row r="47" spans="1:24">
      <c r="A47" s="267"/>
      <c r="B47" s="267"/>
      <c r="C47" s="267"/>
      <c r="D47" s="266" t="s">
        <v>362</v>
      </c>
      <c r="E47" s="266"/>
      <c r="F47" s="266"/>
      <c r="G47" s="266"/>
      <c r="H47" s="266"/>
      <c r="I47" s="266"/>
      <c r="J47" s="266"/>
      <c r="K47" s="267"/>
      <c r="L47" s="267"/>
      <c r="M47" s="267"/>
      <c r="N47" s="267"/>
      <c r="O47" s="267"/>
      <c r="P47" s="267"/>
      <c r="Q47" s="267"/>
      <c r="R47" s="267"/>
      <c r="S47" s="267"/>
      <c r="T47" s="267"/>
      <c r="U47" s="267"/>
      <c r="V47" s="267"/>
      <c r="W47" s="267"/>
      <c r="X47" s="267"/>
    </row>
    <row r="48" spans="1:24">
      <c r="A48" s="267"/>
      <c r="B48" s="267" t="s">
        <v>362</v>
      </c>
      <c r="C48" s="267"/>
      <c r="D48" s="266" t="s">
        <v>362</v>
      </c>
      <c r="E48" s="266"/>
      <c r="F48" s="266"/>
      <c r="G48" s="266"/>
      <c r="H48" s="266"/>
      <c r="I48" s="266"/>
      <c r="J48" s="266"/>
      <c r="K48" s="267"/>
      <c r="L48" s="267"/>
      <c r="M48" s="267"/>
      <c r="N48" s="267"/>
      <c r="O48" s="267"/>
      <c r="P48" s="267"/>
      <c r="Q48" s="267"/>
      <c r="R48" s="267"/>
      <c r="S48" s="267"/>
      <c r="T48" s="267"/>
      <c r="U48" s="267"/>
      <c r="V48" s="267"/>
      <c r="W48" s="267"/>
      <c r="X48" s="269"/>
    </row>
    <row r="49" spans="1:24">
      <c r="A49" s="267"/>
      <c r="B49" s="267"/>
      <c r="C49" s="267"/>
      <c r="D49" s="266" t="s">
        <v>362</v>
      </c>
      <c r="E49" s="266"/>
      <c r="F49" s="266"/>
      <c r="G49" s="266"/>
      <c r="H49" s="266"/>
      <c r="I49" s="266"/>
      <c r="J49" s="266"/>
      <c r="K49" s="267"/>
      <c r="L49" s="267"/>
      <c r="M49" s="267"/>
      <c r="N49" s="267"/>
      <c r="O49" s="267"/>
      <c r="P49" s="267"/>
      <c r="Q49" s="267"/>
      <c r="R49" s="267"/>
      <c r="S49" s="267"/>
      <c r="T49" s="267"/>
      <c r="U49" s="267"/>
      <c r="V49" s="267"/>
      <c r="W49" s="267"/>
      <c r="X49" s="267"/>
    </row>
    <row r="53" spans="1:24" ht="15.75">
      <c r="E53" s="300"/>
    </row>
  </sheetData>
  <mergeCells count="3">
    <mergeCell ref="B7:S7"/>
    <mergeCell ref="L10:N10"/>
    <mergeCell ref="Q10:S10"/>
  </mergeCells>
  <pageMargins left="0.70866141732283472" right="0.70866141732283472" top="0.74803149606299213" bottom="0.74803149606299213" header="0.31496062992125984" footer="0.31496062992125984"/>
  <pageSetup paperSize="9" scale="71" orientation="portrait"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view="pageBreakPreview" topLeftCell="A37" zoomScale="85" zoomScaleNormal="100" zoomScaleSheetLayoutView="85" workbookViewId="0">
      <selection activeCell="H61" sqref="H61"/>
    </sheetView>
  </sheetViews>
  <sheetFormatPr defaultColWidth="9.140625" defaultRowHeight="12.75"/>
  <cols>
    <col min="1" max="1" width="5.85546875" style="601" customWidth="1"/>
    <col min="2" max="2" width="89.140625" style="601" customWidth="1"/>
    <col min="3" max="3" width="0.140625" style="601" hidden="1" customWidth="1"/>
    <col min="4" max="4" width="5.85546875" style="601" customWidth="1"/>
    <col min="5" max="5" width="0.28515625" style="601" customWidth="1"/>
    <col min="6" max="6" width="12.28515625" style="602" customWidth="1"/>
    <col min="7" max="7" width="12.140625" style="601" customWidth="1"/>
    <col min="8" max="8" width="13.28515625" style="601" customWidth="1"/>
    <col min="9" max="9" width="10.5703125" style="601" customWidth="1"/>
    <col min="10" max="10" width="3" style="601" customWidth="1"/>
    <col min="11" max="11" width="5.42578125" style="601" customWidth="1"/>
    <col min="12" max="12" width="2.140625" style="601" customWidth="1"/>
    <col min="13" max="13" width="9.5703125" style="601" customWidth="1"/>
    <col min="14" max="14" width="7.85546875" style="601" customWidth="1"/>
    <col min="15" max="16384" width="9.140625" style="601"/>
  </cols>
  <sheetData>
    <row r="1" spans="1:13" ht="48" customHeight="1">
      <c r="A1" s="803" t="s">
        <v>10</v>
      </c>
      <c r="B1" s="804"/>
      <c r="C1" s="804"/>
      <c r="D1" s="804"/>
      <c r="E1" s="804"/>
      <c r="F1" s="804"/>
      <c r="G1" s="804"/>
      <c r="H1" s="804"/>
    </row>
    <row r="2" spans="1:13" ht="19.5" customHeight="1">
      <c r="A2" s="617" t="s">
        <v>52</v>
      </c>
    </row>
    <row r="3" spans="1:13" ht="15" customHeight="1" thickBot="1">
      <c r="A3" s="615"/>
      <c r="B3" s="615"/>
      <c r="C3" s="615"/>
      <c r="D3" s="615"/>
      <c r="E3" s="615"/>
      <c r="F3" s="616"/>
      <c r="G3" s="615"/>
      <c r="H3" s="615"/>
    </row>
    <row r="4" spans="1:13" s="604" customFormat="1" ht="15" customHeight="1">
      <c r="A4" s="154"/>
      <c r="B4" s="154"/>
      <c r="C4" s="154"/>
      <c r="D4" s="141"/>
      <c r="E4" s="154"/>
      <c r="F4" s="138"/>
      <c r="G4" s="154"/>
      <c r="H4" s="588"/>
      <c r="I4" s="614"/>
      <c r="J4" s="154"/>
      <c r="K4" s="154"/>
      <c r="L4" s="601"/>
      <c r="M4" s="601"/>
    </row>
    <row r="5" spans="1:13" s="604" customFormat="1" ht="16.5" customHeight="1">
      <c r="A5" s="154"/>
      <c r="B5" s="154"/>
      <c r="C5" s="154"/>
      <c r="D5" s="141"/>
      <c r="E5" s="154"/>
      <c r="F5" s="805" t="s">
        <v>18</v>
      </c>
      <c r="G5" s="805"/>
      <c r="H5" s="806" t="s">
        <v>19</v>
      </c>
      <c r="I5" s="806"/>
      <c r="J5" s="154"/>
      <c r="K5" s="154"/>
      <c r="L5" s="601"/>
      <c r="M5" s="601"/>
    </row>
    <row r="6" spans="1:13" s="611" customFormat="1" ht="16.5" customHeight="1">
      <c r="A6" s="587"/>
      <c r="B6" s="587"/>
      <c r="C6" s="154"/>
      <c r="D6" s="141" t="s">
        <v>20</v>
      </c>
      <c r="E6" s="138"/>
      <c r="F6" s="584" t="s">
        <v>21</v>
      </c>
      <c r="G6" s="584" t="s">
        <v>22</v>
      </c>
      <c r="H6" s="587" t="s">
        <v>21</v>
      </c>
      <c r="I6" s="587" t="s">
        <v>22</v>
      </c>
      <c r="J6" s="587"/>
      <c r="K6" s="587"/>
    </row>
    <row r="7" spans="1:13" s="611" customFormat="1" ht="16.5" customHeight="1">
      <c r="A7" s="587"/>
      <c r="B7" s="587"/>
      <c r="C7" s="154"/>
      <c r="D7" s="141"/>
      <c r="E7" s="138"/>
      <c r="F7" s="612" t="s">
        <v>23</v>
      </c>
      <c r="G7" s="612" t="s">
        <v>23</v>
      </c>
      <c r="H7" s="612" t="s">
        <v>23</v>
      </c>
      <c r="I7" s="612" t="s">
        <v>23</v>
      </c>
      <c r="J7" s="587"/>
      <c r="K7" s="587"/>
    </row>
    <row r="8" spans="1:13" s="604" customFormat="1" ht="15" customHeight="1">
      <c r="A8" s="154"/>
      <c r="B8" s="154"/>
      <c r="C8" s="154"/>
      <c r="D8" s="141"/>
      <c r="E8" s="154"/>
      <c r="F8" s="143"/>
      <c r="G8" s="610"/>
      <c r="H8" s="142"/>
      <c r="I8" s="154"/>
      <c r="J8" s="154"/>
      <c r="K8" s="154"/>
    </row>
    <row r="9" spans="1:13" s="604" customFormat="1" ht="15" customHeight="1">
      <c r="A9" s="154"/>
      <c r="B9" s="138" t="s">
        <v>11</v>
      </c>
      <c r="C9" s="154"/>
      <c r="D9" s="141"/>
      <c r="E9" s="154"/>
      <c r="F9" s="138"/>
      <c r="G9" s="154"/>
      <c r="H9" s="588"/>
      <c r="I9" s="154"/>
      <c r="J9" s="154"/>
      <c r="K9" s="154"/>
    </row>
    <row r="10" spans="1:13" s="604" customFormat="1" ht="15" customHeight="1">
      <c r="A10" s="154"/>
      <c r="B10" s="154"/>
      <c r="C10" s="154"/>
      <c r="D10" s="141"/>
      <c r="E10" s="154"/>
      <c r="F10" s="138"/>
      <c r="G10" s="154"/>
      <c r="H10" s="588"/>
      <c r="I10" s="154"/>
      <c r="J10" s="154"/>
      <c r="K10" s="601"/>
      <c r="L10" s="601"/>
      <c r="M10" s="601"/>
    </row>
    <row r="11" spans="1:13" s="604" customFormat="1" ht="15" customHeight="1">
      <c r="A11" s="154"/>
      <c r="B11" s="154" t="s">
        <v>12</v>
      </c>
      <c r="C11" s="154"/>
      <c r="D11" s="141">
        <f>'Note 1 -6'!A9</f>
        <v>1</v>
      </c>
      <c r="E11" s="154"/>
      <c r="F11" s="414">
        <f>'Note 1 -6'!H15</f>
        <v>56040</v>
      </c>
      <c r="G11" s="414">
        <f>'Note 1 -6'!I15</f>
        <v>56040</v>
      </c>
      <c r="H11" s="588">
        <f>'Note 1 -6'!J15</f>
        <v>51600</v>
      </c>
      <c r="I11" s="588">
        <f>'Note 1 -6'!K15</f>
        <v>51600</v>
      </c>
      <c r="J11" s="154"/>
      <c r="K11" s="601"/>
      <c r="L11" s="601"/>
      <c r="M11" s="601"/>
    </row>
    <row r="12" spans="1:13" s="604" customFormat="1" ht="15" customHeight="1">
      <c r="A12" s="154"/>
      <c r="B12" s="139" t="s">
        <v>13</v>
      </c>
      <c r="C12" s="154"/>
      <c r="D12" s="141">
        <f>'Note 1 -6'!A21</f>
        <v>2</v>
      </c>
      <c r="E12" s="154"/>
      <c r="F12" s="414">
        <f>'Note 1 -6'!H35</f>
        <v>35441</v>
      </c>
      <c r="G12" s="414">
        <f>'Note 1 -6'!I35</f>
        <v>35441</v>
      </c>
      <c r="H12" s="588">
        <f>'Note 1 -6'!J35</f>
        <v>32677</v>
      </c>
      <c r="I12" s="588">
        <f>'Note 1 -6'!K35</f>
        <v>32677</v>
      </c>
      <c r="J12" s="154"/>
      <c r="K12" s="601"/>
      <c r="L12" s="601"/>
      <c r="M12" s="601"/>
    </row>
    <row r="13" spans="1:13" s="604" customFormat="1" ht="15" customHeight="1">
      <c r="A13" s="154"/>
      <c r="B13" s="154" t="s">
        <v>14</v>
      </c>
      <c r="C13" s="154"/>
      <c r="D13" s="141">
        <f>'Note 1 -6'!A41</f>
        <v>3</v>
      </c>
      <c r="E13" s="154"/>
      <c r="F13" s="414">
        <f>'Note 1 -6'!H48</f>
        <v>31000</v>
      </c>
      <c r="G13" s="414">
        <f>'Note 1 -6'!I48</f>
        <v>31000</v>
      </c>
      <c r="H13" s="588">
        <f>'Note 1 -6'!J48</f>
        <v>28337</v>
      </c>
      <c r="I13" s="588">
        <f>'Note 1 -6'!K48</f>
        <v>28337</v>
      </c>
      <c r="J13" s="154"/>
      <c r="K13" s="601"/>
      <c r="L13" s="601"/>
      <c r="M13" s="601"/>
    </row>
    <row r="14" spans="1:13" s="604" customFormat="1" ht="15" customHeight="1">
      <c r="A14" s="154"/>
      <c r="B14" s="154" t="s">
        <v>15</v>
      </c>
      <c r="C14" s="154"/>
      <c r="D14" s="141">
        <f>'Note 1 -6'!A54</f>
        <v>4</v>
      </c>
      <c r="E14" s="154"/>
      <c r="F14" s="414">
        <f>'Note 1 -6'!H61</f>
        <v>56609</v>
      </c>
      <c r="G14" s="414">
        <f>'Note 1 -6'!I61</f>
        <v>51335</v>
      </c>
      <c r="H14" s="588">
        <f>'Note 1 -6'!J61</f>
        <v>42872</v>
      </c>
      <c r="I14" s="588">
        <f>'Note 1 -6'!K61</f>
        <v>38112</v>
      </c>
      <c r="J14" s="154"/>
      <c r="K14" s="601"/>
      <c r="L14" s="601"/>
      <c r="M14" s="601"/>
    </row>
    <row r="15" spans="1:13" s="604" customFormat="1" ht="15" customHeight="1">
      <c r="A15" s="154"/>
      <c r="B15" s="154" t="s">
        <v>16</v>
      </c>
      <c r="C15" s="154"/>
      <c r="D15" s="141">
        <f>'Note 1 -6'!A66</f>
        <v>5</v>
      </c>
      <c r="E15" s="154"/>
      <c r="F15" s="414">
        <f>'Note 1 -6'!H72</f>
        <v>1955</v>
      </c>
      <c r="G15" s="414">
        <f>'Note 1 -6'!I72</f>
        <v>1955</v>
      </c>
      <c r="H15" s="588">
        <f>'Note 1 -6'!J72</f>
        <v>2160</v>
      </c>
      <c r="I15" s="588">
        <f>'Note 1 -6'!K72</f>
        <v>2160</v>
      </c>
      <c r="J15" s="154"/>
      <c r="K15" s="601"/>
      <c r="L15" s="601"/>
      <c r="M15" s="601"/>
    </row>
    <row r="16" spans="1:13" s="604" customFormat="1" ht="15" customHeight="1">
      <c r="A16" s="154"/>
      <c r="B16" s="154"/>
      <c r="C16" s="141"/>
      <c r="D16" s="154" t="s">
        <v>362</v>
      </c>
      <c r="E16" s="154"/>
      <c r="F16" s="600"/>
      <c r="G16" s="414" t="s">
        <v>362</v>
      </c>
      <c r="H16" s="582"/>
      <c r="I16" s="588"/>
      <c r="J16" s="154"/>
      <c r="K16" s="601"/>
      <c r="L16" s="601"/>
      <c r="M16" s="601"/>
    </row>
    <row r="17" spans="1:13" s="604" customFormat="1" ht="15" customHeight="1">
      <c r="A17" s="154"/>
      <c r="B17" s="138" t="s">
        <v>992</v>
      </c>
      <c r="C17" s="141"/>
      <c r="D17" s="154"/>
      <c r="E17" s="154"/>
      <c r="F17" s="414">
        <f>SUM(F11:F15)</f>
        <v>181045</v>
      </c>
      <c r="G17" s="414"/>
      <c r="H17" s="588">
        <f>SUM(H11:H16)</f>
        <v>157646</v>
      </c>
      <c r="I17" s="588"/>
      <c r="J17" s="154"/>
      <c r="K17" s="601"/>
      <c r="L17" s="601"/>
      <c r="M17" s="601"/>
    </row>
    <row r="18" spans="1:13" s="604" customFormat="1" ht="15" customHeight="1">
      <c r="A18" s="154"/>
      <c r="B18" s="138"/>
      <c r="C18" s="141"/>
      <c r="D18" s="154"/>
      <c r="E18" s="154"/>
      <c r="F18" s="414"/>
      <c r="G18" s="414"/>
      <c r="H18" s="588"/>
      <c r="I18" s="588"/>
      <c r="J18" s="154"/>
      <c r="K18" s="601"/>
      <c r="L18" s="601"/>
      <c r="M18" s="601"/>
    </row>
    <row r="19" spans="1:13" s="604" customFormat="1" ht="15" customHeight="1">
      <c r="A19" s="154"/>
      <c r="B19" s="154" t="s">
        <v>17</v>
      </c>
      <c r="C19" s="141"/>
      <c r="D19" s="141">
        <f>'Note 1 -6'!A76</f>
        <v>6</v>
      </c>
      <c r="E19" s="154"/>
      <c r="F19" s="414">
        <f>'Note 1 -6'!H81</f>
        <v>2980</v>
      </c>
      <c r="G19" s="414">
        <f>'Note 1 -6'!I81</f>
        <v>2980</v>
      </c>
      <c r="H19" s="588">
        <f>'Note 1 -6'!J81</f>
        <v>3151</v>
      </c>
      <c r="I19" s="588">
        <f>'Note 1 -6'!K81</f>
        <v>3151</v>
      </c>
      <c r="J19" s="154"/>
      <c r="K19" s="601"/>
      <c r="L19" s="601"/>
      <c r="M19" s="601"/>
    </row>
    <row r="20" spans="1:13" s="604" customFormat="1" ht="15" customHeight="1">
      <c r="A20" s="154"/>
      <c r="B20" s="138"/>
      <c r="C20" s="141"/>
      <c r="D20" s="154"/>
      <c r="E20" s="154"/>
      <c r="F20" s="414"/>
      <c r="G20" s="154"/>
      <c r="H20" s="588"/>
      <c r="I20" s="154"/>
      <c r="J20" s="154"/>
      <c r="K20" s="601"/>
      <c r="L20" s="601"/>
      <c r="M20" s="601"/>
    </row>
    <row r="21" spans="1:13" s="604" customFormat="1" ht="15" customHeight="1">
      <c r="A21" s="154"/>
      <c r="B21" s="138" t="s">
        <v>24</v>
      </c>
      <c r="C21" s="141"/>
      <c r="D21" s="154"/>
      <c r="E21" s="154"/>
      <c r="F21" s="609">
        <f>SUM(F17:F20)</f>
        <v>184025</v>
      </c>
      <c r="G21" s="609">
        <f>SUM(G11:G20)</f>
        <v>178751</v>
      </c>
      <c r="H21" s="608">
        <f>SUM(H17:H20)</f>
        <v>160797</v>
      </c>
      <c r="I21" s="608">
        <f>SUM(I11:I20)</f>
        <v>156037</v>
      </c>
      <c r="J21" s="154"/>
      <c r="K21" s="601"/>
      <c r="L21" s="601"/>
      <c r="M21" s="601"/>
    </row>
    <row r="22" spans="1:13" s="604" customFormat="1" ht="15" customHeight="1">
      <c r="A22" s="154"/>
      <c r="B22" s="138"/>
      <c r="C22" s="141"/>
      <c r="D22" s="154"/>
      <c r="E22" s="154"/>
      <c r="F22" s="414"/>
      <c r="G22" s="154"/>
      <c r="H22" s="588"/>
      <c r="I22" s="154"/>
      <c r="J22" s="154"/>
      <c r="K22" s="601"/>
      <c r="L22" s="601"/>
      <c r="M22" s="601"/>
    </row>
    <row r="23" spans="1:13" s="604" customFormat="1" ht="15" customHeight="1">
      <c r="A23" s="154"/>
      <c r="B23" s="138" t="s">
        <v>25</v>
      </c>
      <c r="C23" s="141"/>
      <c r="D23" s="154"/>
      <c r="E23" s="154"/>
      <c r="F23" s="138"/>
      <c r="G23" s="154"/>
      <c r="H23" s="154"/>
      <c r="I23" s="154"/>
      <c r="J23" s="154"/>
      <c r="K23" s="601"/>
      <c r="L23" s="601"/>
      <c r="M23" s="601"/>
    </row>
    <row r="24" spans="1:13" s="604" customFormat="1" ht="15" customHeight="1">
      <c r="A24" s="154"/>
      <c r="B24" s="138"/>
      <c r="C24" s="141"/>
      <c r="D24" s="154"/>
      <c r="E24" s="154"/>
      <c r="F24" s="138"/>
      <c r="G24" s="154"/>
      <c r="H24" s="154"/>
      <c r="I24" s="154"/>
      <c r="J24" s="154"/>
      <c r="K24" s="601"/>
      <c r="L24" s="601"/>
      <c r="M24" s="601"/>
    </row>
    <row r="25" spans="1:13" s="604" customFormat="1" ht="15" customHeight="1">
      <c r="A25" s="154"/>
      <c r="B25" s="154" t="s">
        <v>26</v>
      </c>
      <c r="C25" s="141"/>
      <c r="D25" s="141">
        <f>'Note 7'!A9</f>
        <v>7</v>
      </c>
      <c r="E25" s="154"/>
      <c r="F25" s="414">
        <f>'Note 7'!H16</f>
        <v>92941</v>
      </c>
      <c r="G25" s="414">
        <f>'Note 7'!I16</f>
        <v>92657</v>
      </c>
      <c r="H25" s="588">
        <f>'Note 7'!J16</f>
        <v>87707</v>
      </c>
      <c r="I25" s="588">
        <f>'Note 7'!K16</f>
        <v>87512</v>
      </c>
      <c r="J25" s="154"/>
      <c r="K25" s="601"/>
      <c r="L25" s="601"/>
      <c r="M25" s="601"/>
    </row>
    <row r="26" spans="1:13" s="604" customFormat="1" ht="15" customHeight="1">
      <c r="A26" s="154"/>
      <c r="B26" s="154" t="s">
        <v>27</v>
      </c>
      <c r="C26" s="154"/>
      <c r="D26" s="141">
        <v>9</v>
      </c>
      <c r="E26" s="154"/>
      <c r="F26" s="414">
        <f>'Notes 8 -11'!E36</f>
        <v>2888</v>
      </c>
      <c r="G26" s="414">
        <v>2888</v>
      </c>
      <c r="H26" s="586">
        <f>'Notes 8 -11'!G36</f>
        <v>0</v>
      </c>
      <c r="I26" s="586">
        <v>0</v>
      </c>
      <c r="J26" s="154"/>
    </row>
    <row r="27" spans="1:13" s="604" customFormat="1" ht="15" customHeight="1">
      <c r="A27" s="154"/>
      <c r="B27" s="154" t="s">
        <v>28</v>
      </c>
      <c r="C27" s="154"/>
      <c r="D27" s="141"/>
      <c r="E27" s="154"/>
      <c r="F27" s="414">
        <v>59047</v>
      </c>
      <c r="G27" s="414">
        <v>54151</v>
      </c>
      <c r="H27" s="588">
        <v>52915</v>
      </c>
      <c r="I27" s="588">
        <v>48499</v>
      </c>
      <c r="J27" s="154"/>
      <c r="K27" s="601"/>
      <c r="L27" s="601"/>
      <c r="M27" s="601"/>
    </row>
    <row r="28" spans="1:13" s="604" customFormat="1" ht="15" customHeight="1">
      <c r="A28" s="154"/>
      <c r="B28" s="154" t="s">
        <v>29</v>
      </c>
      <c r="C28" s="154"/>
      <c r="D28" s="141">
        <v>12</v>
      </c>
      <c r="E28" s="154"/>
      <c r="F28" s="414">
        <f>'Note 12'!R24</f>
        <v>8715</v>
      </c>
      <c r="G28" s="414">
        <f>F28-289</f>
        <v>8426</v>
      </c>
      <c r="H28" s="588">
        <v>7717</v>
      </c>
      <c r="I28" s="154">
        <f>H28-274</f>
        <v>7443</v>
      </c>
      <c r="J28" s="154"/>
      <c r="K28" s="601"/>
      <c r="L28" s="601"/>
      <c r="M28" s="601"/>
    </row>
    <row r="29" spans="1:13" s="604" customFormat="1" ht="15" customHeight="1">
      <c r="A29" s="154"/>
      <c r="B29" s="154" t="s">
        <v>30</v>
      </c>
      <c r="C29" s="154"/>
      <c r="D29" s="141">
        <v>8</v>
      </c>
      <c r="E29" s="154"/>
      <c r="F29" s="414">
        <f>'Notes 8 -11'!E15</f>
        <v>2530</v>
      </c>
      <c r="G29" s="414">
        <f>F29</f>
        <v>2530</v>
      </c>
      <c r="H29" s="588">
        <f>'Notes 8 -11'!G15</f>
        <v>3514</v>
      </c>
      <c r="I29" s="588">
        <f>H29</f>
        <v>3514</v>
      </c>
      <c r="J29" s="154"/>
      <c r="K29" s="601"/>
      <c r="L29" s="601"/>
      <c r="M29" s="601"/>
    </row>
    <row r="30" spans="1:13" s="604" customFormat="1" ht="15" customHeight="1">
      <c r="A30" s="154"/>
      <c r="B30" s="154"/>
      <c r="C30" s="154"/>
      <c r="D30" s="141"/>
      <c r="E30" s="154"/>
      <c r="F30" s="138" t="s">
        <v>362</v>
      </c>
      <c r="G30" s="154"/>
      <c r="H30" s="154" t="s">
        <v>362</v>
      </c>
      <c r="I30" s="154"/>
      <c r="J30" s="154"/>
      <c r="K30" s="601"/>
      <c r="L30" s="601"/>
      <c r="M30" s="601"/>
    </row>
    <row r="31" spans="1:13" s="604" customFormat="1" ht="15" customHeight="1">
      <c r="A31" s="154"/>
      <c r="B31" s="138" t="s">
        <v>31</v>
      </c>
      <c r="C31" s="154"/>
      <c r="D31" s="141">
        <v>9</v>
      </c>
      <c r="E31" s="154"/>
      <c r="F31" s="609">
        <f>SUM(F25:F29)</f>
        <v>166121</v>
      </c>
      <c r="G31" s="609">
        <f>SUM(G25:G29)</f>
        <v>160652</v>
      </c>
      <c r="H31" s="608">
        <f>SUM(H25:H30)</f>
        <v>151853</v>
      </c>
      <c r="I31" s="608">
        <f>SUM(I25:I30)</f>
        <v>146968</v>
      </c>
      <c r="J31" s="154"/>
      <c r="K31" s="601"/>
      <c r="L31" s="601"/>
      <c r="M31" s="601"/>
    </row>
    <row r="32" spans="1:13" s="604" customFormat="1" ht="15" customHeight="1">
      <c r="A32" s="154"/>
      <c r="B32" s="138"/>
      <c r="C32" s="154"/>
      <c r="D32" s="141"/>
      <c r="E32" s="154"/>
      <c r="F32" s="414"/>
      <c r="G32" s="414"/>
      <c r="H32" s="588"/>
      <c r="I32" s="588"/>
      <c r="J32" s="154"/>
      <c r="K32" s="601"/>
      <c r="L32" s="601"/>
      <c r="M32" s="601"/>
    </row>
    <row r="33" spans="1:13" s="604" customFormat="1" ht="29.25" customHeight="1">
      <c r="A33" s="154"/>
      <c r="B33" s="672" t="s">
        <v>32</v>
      </c>
      <c r="C33" s="154"/>
      <c r="D33" s="141"/>
      <c r="E33" s="154"/>
      <c r="F33" s="414">
        <f>F21-F31</f>
        <v>17904</v>
      </c>
      <c r="G33" s="414">
        <f>G21-G31</f>
        <v>18099</v>
      </c>
      <c r="H33" s="414">
        <f>H21-H31</f>
        <v>8944</v>
      </c>
      <c r="I33" s="414">
        <f>I21-I31</f>
        <v>9069</v>
      </c>
      <c r="J33" s="154"/>
      <c r="K33" s="601"/>
      <c r="L33" s="601"/>
      <c r="M33" s="601"/>
    </row>
    <row r="34" spans="1:13" s="604" customFormat="1" ht="15" customHeight="1">
      <c r="A34" s="154"/>
      <c r="B34" s="154"/>
      <c r="C34" s="154"/>
      <c r="D34" s="141"/>
      <c r="E34" s="154"/>
      <c r="F34" s="138"/>
      <c r="G34" s="154" t="s">
        <v>362</v>
      </c>
      <c r="H34" s="154"/>
      <c r="I34" s="154"/>
      <c r="J34" s="154"/>
    </row>
    <row r="35" spans="1:13" s="604" customFormat="1" ht="15" customHeight="1">
      <c r="A35" s="154"/>
      <c r="B35" s="154" t="s">
        <v>33</v>
      </c>
      <c r="C35" s="154"/>
      <c r="D35" s="141"/>
      <c r="E35" s="154"/>
      <c r="F35" s="138">
        <v>758</v>
      </c>
      <c r="G35" s="138">
        <v>758</v>
      </c>
      <c r="H35" s="154">
        <v>758</v>
      </c>
      <c r="I35" s="154">
        <v>758</v>
      </c>
      <c r="J35" s="154"/>
    </row>
    <row r="36" spans="1:13" s="604" customFormat="1" ht="15" customHeight="1">
      <c r="A36" s="154"/>
      <c r="B36" s="154" t="s">
        <v>34</v>
      </c>
      <c r="C36" s="154"/>
      <c r="D36" s="607" t="s">
        <v>928</v>
      </c>
      <c r="E36" s="154"/>
      <c r="F36" s="138">
        <f>'Note 25'!K20+'Note 26 &amp; 27'!J20</f>
        <v>-112</v>
      </c>
      <c r="G36" s="138">
        <f>'Note 25'!K20+'Note 26 &amp; 27'!J20</f>
        <v>-112</v>
      </c>
      <c r="H36" s="138">
        <f>'Note 25'!L20+'Note 26 &amp; 27'!K20</f>
        <v>138</v>
      </c>
      <c r="I36" s="154">
        <f>'Note 25'!L20+'Note 26 &amp; 27'!K20</f>
        <v>138</v>
      </c>
      <c r="J36" s="154"/>
    </row>
    <row r="37" spans="1:13" s="604" customFormat="1" ht="15" customHeight="1">
      <c r="A37" s="154"/>
      <c r="B37" s="154" t="s">
        <v>35</v>
      </c>
      <c r="C37" s="154"/>
      <c r="D37" s="141">
        <v>17</v>
      </c>
      <c r="E37" s="154"/>
      <c r="F37" s="414">
        <f>'Notes 17-18'!N16</f>
        <v>-311</v>
      </c>
      <c r="G37" s="586">
        <v>0</v>
      </c>
      <c r="H37" s="588">
        <f>'Notes 17-18'!S16</f>
        <v>-150</v>
      </c>
      <c r="I37" s="586">
        <v>0</v>
      </c>
      <c r="J37" s="154"/>
    </row>
    <row r="38" spans="1:13" s="604" customFormat="1" ht="15" customHeight="1">
      <c r="A38" s="154"/>
      <c r="B38" s="154" t="s">
        <v>36</v>
      </c>
      <c r="C38" s="154"/>
      <c r="D38" s="141">
        <v>18</v>
      </c>
      <c r="E38" s="154"/>
      <c r="F38" s="414">
        <v>-11</v>
      </c>
      <c r="G38" s="586">
        <v>0</v>
      </c>
      <c r="H38" s="588">
        <v>10</v>
      </c>
      <c r="I38" s="586">
        <v>0</v>
      </c>
      <c r="J38" s="154"/>
    </row>
    <row r="39" spans="1:13" s="604" customFormat="1" ht="15" customHeight="1">
      <c r="A39" s="154"/>
      <c r="B39" s="154"/>
      <c r="C39" s="154"/>
      <c r="D39" s="141"/>
      <c r="E39" s="154"/>
      <c r="F39" s="600"/>
      <c r="G39" s="582"/>
      <c r="H39" s="582"/>
      <c r="I39" s="582"/>
      <c r="J39" s="154"/>
    </row>
    <row r="40" spans="1:13" s="604" customFormat="1" ht="15" customHeight="1">
      <c r="A40" s="154"/>
      <c r="B40" s="138" t="s">
        <v>37</v>
      </c>
      <c r="C40" s="154"/>
      <c r="D40" s="141"/>
      <c r="E40" s="154"/>
      <c r="F40" s="414">
        <f>F21-F31+F35+F36+F37+F38</f>
        <v>18228</v>
      </c>
      <c r="G40" s="414">
        <f>G21-G31+G35+G36+G37+G38</f>
        <v>18745</v>
      </c>
      <c r="H40" s="588">
        <f>H21-H31+H35+H36+H37+H38</f>
        <v>9700</v>
      </c>
      <c r="I40" s="588">
        <f>I21-I31+I35+I36+I37+I38</f>
        <v>9965</v>
      </c>
      <c r="J40" s="154"/>
    </row>
    <row r="41" spans="1:13" s="604" customFormat="1" ht="15" customHeight="1">
      <c r="A41" s="154"/>
      <c r="B41" s="138"/>
      <c r="C41" s="154"/>
      <c r="D41" s="141"/>
      <c r="E41" s="154"/>
      <c r="F41" s="414"/>
      <c r="G41" s="586"/>
      <c r="H41" s="414"/>
      <c r="I41" s="154"/>
      <c r="J41" s="154"/>
    </row>
    <row r="42" spans="1:13" s="604" customFormat="1" ht="15" customHeight="1">
      <c r="A42" s="154"/>
      <c r="B42" s="154" t="s">
        <v>38</v>
      </c>
      <c r="C42" s="154"/>
      <c r="D42" s="141">
        <v>10</v>
      </c>
      <c r="E42" s="154"/>
      <c r="F42" s="414">
        <f>-'Notes 8 -11'!E55</f>
        <v>-209</v>
      </c>
      <c r="G42" s="586">
        <v>0</v>
      </c>
      <c r="H42" s="588">
        <f>-'Notes 8 -11'!G55</f>
        <v>-46</v>
      </c>
      <c r="I42" s="586">
        <v>0</v>
      </c>
      <c r="J42" s="154"/>
    </row>
    <row r="43" spans="1:13" s="604" customFormat="1" ht="15" customHeight="1">
      <c r="A43" s="154"/>
      <c r="B43" s="154"/>
      <c r="C43" s="154"/>
      <c r="D43" s="141"/>
      <c r="E43" s="154"/>
      <c r="F43" s="582"/>
      <c r="G43" s="582"/>
      <c r="H43" s="582"/>
      <c r="I43" s="582"/>
      <c r="J43" s="154"/>
      <c r="K43" s="606"/>
    </row>
    <row r="44" spans="1:13" s="604" customFormat="1" ht="15" customHeight="1">
      <c r="A44" s="154"/>
      <c r="B44" s="138" t="s">
        <v>39</v>
      </c>
      <c r="C44" s="154"/>
      <c r="D44" s="141"/>
      <c r="E44" s="154"/>
      <c r="F44" s="414">
        <f>F40+F42</f>
        <v>18019</v>
      </c>
      <c r="G44" s="414">
        <f>G40+G42</f>
        <v>18745</v>
      </c>
      <c r="H44" s="588">
        <f>H40+H42</f>
        <v>9654</v>
      </c>
      <c r="I44" s="588">
        <f>SUM(I40:I43)</f>
        <v>9965</v>
      </c>
      <c r="J44" s="154"/>
      <c r="K44" s="606"/>
    </row>
    <row r="45" spans="1:13" s="604" customFormat="1" ht="15" customHeight="1">
      <c r="A45" s="154"/>
      <c r="B45" s="138"/>
      <c r="C45" s="154"/>
      <c r="D45" s="141"/>
      <c r="E45" s="154"/>
      <c r="F45" s="588"/>
      <c r="G45" s="154"/>
      <c r="H45" s="588"/>
      <c r="I45" s="588"/>
      <c r="J45" s="154"/>
      <c r="K45" s="606"/>
    </row>
    <row r="46" spans="1:13" s="604" customFormat="1" ht="15" customHeight="1">
      <c r="A46" s="154"/>
      <c r="B46" s="151" t="s">
        <v>40</v>
      </c>
      <c r="C46" s="154"/>
      <c r="D46" s="151">
        <v>12</v>
      </c>
      <c r="E46" s="151">
        <v>26</v>
      </c>
      <c r="F46" s="153">
        <f>'Note 12'!R40-'Note 12'!R50</f>
        <v>2520</v>
      </c>
      <c r="G46" s="153">
        <f>F46</f>
        <v>2520</v>
      </c>
      <c r="H46" s="586">
        <v>0</v>
      </c>
      <c r="I46" s="586">
        <v>0</v>
      </c>
      <c r="J46" s="154"/>
    </row>
    <row r="47" spans="1:13" s="604" customFormat="1" ht="15" customHeight="1">
      <c r="A47" s="154"/>
      <c r="B47" s="151" t="s">
        <v>41</v>
      </c>
      <c r="C47" s="154"/>
      <c r="D47" s="151">
        <v>35</v>
      </c>
      <c r="E47" s="151">
        <v>40</v>
      </c>
      <c r="F47" s="153">
        <f>-220</f>
        <v>-220</v>
      </c>
      <c r="G47" s="506">
        <f>F47</f>
        <v>-220</v>
      </c>
      <c r="H47" s="506">
        <v>2067</v>
      </c>
      <c r="I47" s="154">
        <f>H47</f>
        <v>2067</v>
      </c>
      <c r="J47" s="154"/>
    </row>
    <row r="48" spans="1:13" s="604" customFormat="1" ht="15" customHeight="1">
      <c r="A48" s="154"/>
      <c r="B48" s="151" t="s">
        <v>42</v>
      </c>
      <c r="C48" s="154"/>
      <c r="D48" s="151"/>
      <c r="E48" s="151"/>
      <c r="F48" s="605">
        <v>0</v>
      </c>
      <c r="G48" s="586">
        <v>0</v>
      </c>
      <c r="H48" s="586">
        <v>0</v>
      </c>
      <c r="I48" s="586">
        <v>0</v>
      </c>
      <c r="J48" s="154"/>
    </row>
    <row r="49" spans="1:14" s="604" customFormat="1" ht="15" customHeight="1">
      <c r="A49" s="154"/>
      <c r="B49" s="154"/>
      <c r="C49" s="154"/>
      <c r="D49" s="141"/>
      <c r="E49" s="154"/>
      <c r="F49" s="588"/>
      <c r="G49" s="154"/>
      <c r="H49" s="588"/>
      <c r="I49" s="154"/>
      <c r="J49" s="154"/>
    </row>
    <row r="50" spans="1:14" s="604" customFormat="1" ht="15" customHeight="1" thickBot="1">
      <c r="A50" s="154"/>
      <c r="B50" s="138" t="s">
        <v>43</v>
      </c>
      <c r="C50" s="154"/>
      <c r="D50" s="141"/>
      <c r="E50" s="154"/>
      <c r="F50" s="603">
        <f>SUM(F44:F48)</f>
        <v>20319</v>
      </c>
      <c r="G50" s="603">
        <f>SUM(G42:G48)</f>
        <v>21045</v>
      </c>
      <c r="H50" s="603">
        <f>SUM(H43:H48)</f>
        <v>11721</v>
      </c>
      <c r="I50" s="603">
        <f>SUM(I42:I48)</f>
        <v>12032</v>
      </c>
      <c r="J50" s="154"/>
    </row>
    <row r="51" spans="1:14" s="604" customFormat="1" ht="15" customHeight="1" thickTop="1">
      <c r="A51" s="154"/>
      <c r="B51" s="154" t="s">
        <v>44</v>
      </c>
      <c r="C51" s="154"/>
      <c r="D51" s="141"/>
      <c r="E51" s="154"/>
      <c r="F51" s="414"/>
      <c r="G51" s="154"/>
      <c r="H51" s="588"/>
      <c r="I51" s="154"/>
      <c r="J51" s="154"/>
    </row>
    <row r="52" spans="1:14" s="604" customFormat="1" ht="15" customHeight="1">
      <c r="A52" s="154"/>
      <c r="B52" s="154" t="s">
        <v>45</v>
      </c>
      <c r="C52" s="154"/>
      <c r="D52" s="141"/>
      <c r="E52" s="154"/>
      <c r="F52" s="588">
        <f>'Balance Sheet'!K43-'Balance Sheet'!O43</f>
        <v>1242</v>
      </c>
      <c r="G52" s="588">
        <f>'Balance Sheet'!M43-'Balance Sheet'!Q43</f>
        <v>1242</v>
      </c>
      <c r="H52" s="588">
        <f>'Balance Sheet'!O43-CSCR!E9</f>
        <v>1240</v>
      </c>
      <c r="I52" s="588">
        <f>'Balance Sheet'!Q43-CSCR!E34</f>
        <v>1240</v>
      </c>
      <c r="J52" s="154"/>
    </row>
    <row r="53" spans="1:14" ht="15" customHeight="1">
      <c r="A53" s="154"/>
      <c r="B53" s="154" t="s">
        <v>46</v>
      </c>
      <c r="C53" s="154"/>
      <c r="D53" s="154"/>
      <c r="E53" s="154"/>
      <c r="F53" s="154">
        <f>'Balance Sheet'!K44-'Balance Sheet'!O44</f>
        <v>-22</v>
      </c>
      <c r="G53" s="154">
        <f>'Balance Sheet'!M44-'Balance Sheet'!Q44</f>
        <v>-22</v>
      </c>
      <c r="H53" s="154">
        <f>'Balance Sheet'!O44-CSCR!G9</f>
        <v>629</v>
      </c>
      <c r="I53" s="154">
        <f>'Balance Sheet'!Q44-CSCR!G34</f>
        <v>629</v>
      </c>
      <c r="J53" s="154"/>
      <c r="N53" s="601" t="s">
        <v>362</v>
      </c>
    </row>
    <row r="54" spans="1:14" ht="15" customHeight="1">
      <c r="A54" s="154"/>
      <c r="B54" s="154" t="s">
        <v>47</v>
      </c>
      <c r="C54" s="154"/>
      <c r="D54" s="154"/>
      <c r="E54" s="154"/>
      <c r="F54" s="154">
        <f>F50-F52-F53-F55-F61</f>
        <v>21781</v>
      </c>
      <c r="G54" s="154">
        <f>G50-G52-G53-G55</f>
        <v>22465</v>
      </c>
      <c r="H54" s="154">
        <f>H50-H52-H53-H55</f>
        <v>14132</v>
      </c>
      <c r="I54" s="154">
        <f>I50-I52-I53-I55</f>
        <v>14443</v>
      </c>
      <c r="J54" s="154"/>
    </row>
    <row r="55" spans="1:14" ht="15" customHeight="1">
      <c r="A55" s="154"/>
      <c r="B55" s="154" t="s">
        <v>1203</v>
      </c>
      <c r="C55" s="154"/>
      <c r="D55" s="154"/>
      <c r="E55" s="154"/>
      <c r="F55" s="154">
        <f>'Balance Sheet'!K47-'Balance Sheet'!O47</f>
        <v>-2640</v>
      </c>
      <c r="G55" s="154">
        <f>'Balance Sheet'!M47-'Balance Sheet'!Q47</f>
        <v>-2640</v>
      </c>
      <c r="H55" s="154">
        <f>'Balance Sheet'!O47-CSCR!K9</f>
        <v>-4280</v>
      </c>
      <c r="I55" s="154">
        <f>'Balance Sheet'!Q47-CSCR!K34</f>
        <v>-4280</v>
      </c>
      <c r="J55" s="154"/>
    </row>
    <row r="56" spans="1:14" ht="15" customHeight="1">
      <c r="A56" s="154"/>
      <c r="B56" s="419" t="s">
        <v>1211</v>
      </c>
      <c r="C56" s="154"/>
      <c r="D56" s="154"/>
      <c r="E56" s="154"/>
      <c r="F56" s="797">
        <f>SUM(F52:F55)</f>
        <v>20361</v>
      </c>
      <c r="G56" s="797">
        <f>SUM(G52:G55)</f>
        <v>21045</v>
      </c>
      <c r="H56" s="798">
        <f>SUM(H52:H55)</f>
        <v>11721</v>
      </c>
      <c r="I56" s="798">
        <f>SUM(I52:I55)</f>
        <v>12032</v>
      </c>
      <c r="J56" s="154"/>
    </row>
    <row r="57" spans="1:14" ht="15" customHeight="1">
      <c r="A57" s="154"/>
      <c r="B57" s="419" t="s">
        <v>1212</v>
      </c>
      <c r="C57" s="154"/>
      <c r="D57" s="154"/>
      <c r="E57" s="154"/>
      <c r="F57" s="154">
        <f>F61</f>
        <v>-42</v>
      </c>
      <c r="G57" s="799">
        <v>0</v>
      </c>
      <c r="H57" s="799">
        <v>0</v>
      </c>
      <c r="I57" s="799">
        <v>0</v>
      </c>
      <c r="J57" s="154"/>
    </row>
    <row r="58" spans="1:14" ht="15" customHeight="1" thickBot="1">
      <c r="A58" s="154"/>
      <c r="B58" s="154"/>
      <c r="C58" s="154"/>
      <c r="D58" s="154"/>
      <c r="E58" s="154"/>
      <c r="F58" s="800">
        <f>SUM(F56:F57)</f>
        <v>20319</v>
      </c>
      <c r="G58" s="800">
        <f>SUM(G56:G57)</f>
        <v>21045</v>
      </c>
      <c r="H58" s="800">
        <f>SUM(H56:H57)</f>
        <v>11721</v>
      </c>
      <c r="I58" s="800">
        <f>SUM(I56:I57)</f>
        <v>12032</v>
      </c>
      <c r="J58" s="154"/>
    </row>
    <row r="59" spans="1:14" ht="15" customHeight="1" thickTop="1">
      <c r="A59" s="154"/>
      <c r="B59" s="154"/>
      <c r="C59" s="154"/>
      <c r="D59" s="154"/>
      <c r="E59" s="154"/>
      <c r="F59" s="138"/>
      <c r="G59" s="154"/>
      <c r="H59" s="154"/>
      <c r="I59" s="154"/>
      <c r="J59" s="154"/>
    </row>
    <row r="60" spans="1:14" ht="15" customHeight="1">
      <c r="A60" s="154"/>
      <c r="B60" s="138" t="s">
        <v>48</v>
      </c>
      <c r="C60" s="154"/>
      <c r="D60" s="154"/>
      <c r="E60" s="154"/>
      <c r="F60" s="138"/>
      <c r="G60" s="154"/>
      <c r="H60" s="154"/>
      <c r="I60" s="154"/>
      <c r="J60" s="154"/>
    </row>
    <row r="61" spans="1:14" ht="15" customHeight="1">
      <c r="A61" s="154"/>
      <c r="B61" s="154" t="s">
        <v>49</v>
      </c>
      <c r="C61" s="154"/>
      <c r="D61" s="154"/>
      <c r="E61" s="154"/>
      <c r="F61" s="154">
        <v>-42</v>
      </c>
      <c r="G61" s="586">
        <v>0</v>
      </c>
      <c r="H61" s="586">
        <v>0</v>
      </c>
      <c r="I61" s="586">
        <v>0</v>
      </c>
      <c r="J61" s="154"/>
    </row>
    <row r="62" spans="1:14" ht="15" customHeight="1">
      <c r="A62" s="154"/>
      <c r="B62" s="154" t="s">
        <v>50</v>
      </c>
      <c r="C62" s="154"/>
      <c r="D62" s="154"/>
      <c r="E62" s="154"/>
      <c r="F62" s="582">
        <f>F44+F61</f>
        <v>17977</v>
      </c>
      <c r="G62" s="582">
        <v>18745</v>
      </c>
      <c r="H62" s="582">
        <v>9654</v>
      </c>
      <c r="I62" s="582">
        <v>9965</v>
      </c>
      <c r="J62" s="154"/>
    </row>
    <row r="63" spans="1:14" ht="15" customHeight="1">
      <c r="A63" s="154"/>
      <c r="B63" s="154"/>
      <c r="C63" s="154"/>
      <c r="D63" s="154"/>
      <c r="E63" s="154"/>
      <c r="F63" s="138"/>
      <c r="G63" s="154"/>
      <c r="H63" s="154"/>
      <c r="I63" s="154"/>
      <c r="J63" s="154"/>
    </row>
    <row r="64" spans="1:14" ht="15" customHeight="1">
      <c r="A64" s="154"/>
      <c r="B64" s="154" t="s">
        <v>51</v>
      </c>
      <c r="C64" s="154"/>
      <c r="D64" s="154"/>
      <c r="E64" s="154"/>
      <c r="F64" s="138"/>
      <c r="G64" s="138"/>
      <c r="H64" s="138"/>
      <c r="I64" s="138"/>
      <c r="J64" s="154"/>
    </row>
    <row r="65" spans="1:10">
      <c r="A65" s="154"/>
      <c r="B65" s="154"/>
      <c r="C65" s="154"/>
      <c r="D65" s="154"/>
      <c r="E65" s="154"/>
      <c r="F65" s="138"/>
      <c r="G65" s="154"/>
      <c r="H65" s="154"/>
      <c r="I65" s="154"/>
      <c r="J65" s="154"/>
    </row>
    <row r="66" spans="1:10">
      <c r="A66" s="154"/>
      <c r="B66" s="154" t="s">
        <v>362</v>
      </c>
      <c r="C66" s="154"/>
      <c r="D66" s="154"/>
      <c r="E66" s="154"/>
      <c r="F66" s="138"/>
      <c r="G66" s="154"/>
      <c r="H66" s="154"/>
      <c r="I66" s="154"/>
      <c r="J66" s="154"/>
    </row>
    <row r="67" spans="1:10">
      <c r="A67" s="154"/>
      <c r="B67" s="154"/>
      <c r="C67" s="154"/>
      <c r="D67" s="154"/>
      <c r="E67" s="154"/>
      <c r="F67" s="138"/>
      <c r="G67" s="154"/>
      <c r="H67" s="154"/>
      <c r="I67" s="154"/>
      <c r="J67" s="154"/>
    </row>
    <row r="68" spans="1:10">
      <c r="A68" s="154"/>
      <c r="B68" s="154"/>
      <c r="C68" s="154"/>
      <c r="D68" s="154"/>
      <c r="E68" s="154"/>
      <c r="F68" s="138"/>
      <c r="G68" s="154"/>
      <c r="H68" s="154"/>
      <c r="I68" s="154"/>
      <c r="J68" s="154"/>
    </row>
    <row r="69" spans="1:10">
      <c r="A69" s="154"/>
      <c r="B69" s="154"/>
      <c r="C69" s="154"/>
      <c r="D69" s="154"/>
      <c r="E69" s="154"/>
      <c r="F69" s="138"/>
      <c r="G69" s="154"/>
      <c r="H69" s="154"/>
      <c r="I69" s="154"/>
      <c r="J69" s="154"/>
    </row>
    <row r="70" spans="1:10">
      <c r="A70" s="154"/>
      <c r="B70" s="154"/>
      <c r="C70" s="154"/>
      <c r="D70" s="154"/>
      <c r="E70" s="154"/>
      <c r="F70" s="138"/>
      <c r="G70" s="154"/>
      <c r="H70" s="154"/>
      <c r="I70" s="154"/>
      <c r="J70" s="154"/>
    </row>
    <row r="71" spans="1:10">
      <c r="A71" s="154"/>
      <c r="B71" s="154"/>
      <c r="C71" s="154"/>
      <c r="D71" s="154"/>
      <c r="E71" s="154"/>
      <c r="F71" s="138"/>
      <c r="G71" s="154"/>
      <c r="H71" s="154"/>
      <c r="I71" s="154"/>
      <c r="J71" s="154"/>
    </row>
    <row r="72" spans="1:10">
      <c r="A72" s="154"/>
      <c r="B72" s="154"/>
      <c r="C72" s="154"/>
      <c r="D72" s="154"/>
      <c r="E72" s="154"/>
      <c r="F72" s="138"/>
      <c r="G72" s="154"/>
      <c r="H72" s="154"/>
      <c r="I72" s="154"/>
      <c r="J72" s="154"/>
    </row>
    <row r="73" spans="1:10">
      <c r="A73" s="154"/>
      <c r="B73" s="154"/>
      <c r="C73" s="154"/>
      <c r="D73" s="154"/>
      <c r="E73" s="154"/>
      <c r="F73" s="138"/>
      <c r="G73" s="154"/>
      <c r="H73" s="154"/>
      <c r="I73" s="154"/>
      <c r="J73" s="154"/>
    </row>
    <row r="74" spans="1:10">
      <c r="A74" s="154"/>
      <c r="B74" s="154"/>
      <c r="C74" s="154"/>
      <c r="D74" s="154"/>
      <c r="E74" s="154"/>
      <c r="F74" s="138"/>
      <c r="G74" s="154"/>
      <c r="H74" s="154"/>
      <c r="I74" s="154"/>
      <c r="J74" s="154"/>
    </row>
    <row r="75" spans="1:10">
      <c r="A75" s="154"/>
      <c r="B75" s="154"/>
      <c r="C75" s="154"/>
      <c r="D75" s="154"/>
      <c r="E75" s="154"/>
      <c r="F75" s="138"/>
      <c r="G75" s="154"/>
      <c r="H75" s="154"/>
      <c r="I75" s="154"/>
      <c r="J75" s="154"/>
    </row>
    <row r="76" spans="1:10">
      <c r="A76" s="154"/>
      <c r="B76" s="154"/>
      <c r="C76" s="154"/>
      <c r="D76" s="154"/>
      <c r="E76" s="154"/>
      <c r="F76" s="138"/>
      <c r="G76" s="154"/>
      <c r="H76" s="154"/>
      <c r="I76" s="154"/>
      <c r="J76" s="154"/>
    </row>
    <row r="77" spans="1:10">
      <c r="A77" s="154"/>
      <c r="B77" s="154"/>
      <c r="C77" s="154"/>
      <c r="D77" s="154"/>
      <c r="E77" s="154"/>
      <c r="F77" s="138"/>
      <c r="G77" s="154"/>
      <c r="H77" s="154"/>
      <c r="I77" s="154"/>
      <c r="J77" s="154"/>
    </row>
    <row r="78" spans="1:10">
      <c r="A78" s="154"/>
      <c r="B78" s="154"/>
      <c r="C78" s="154"/>
      <c r="D78" s="154"/>
      <c r="E78" s="154"/>
      <c r="F78" s="138"/>
      <c r="G78" s="154"/>
      <c r="H78" s="154"/>
      <c r="I78" s="154"/>
      <c r="J78" s="154"/>
    </row>
    <row r="79" spans="1:10">
      <c r="A79" s="154"/>
      <c r="B79" s="154"/>
      <c r="C79" s="154"/>
      <c r="D79" s="154"/>
      <c r="E79" s="154"/>
      <c r="F79" s="138"/>
      <c r="G79" s="154"/>
      <c r="H79" s="154"/>
      <c r="I79" s="154"/>
      <c r="J79" s="154"/>
    </row>
    <row r="80" spans="1:10">
      <c r="A80" s="154"/>
      <c r="B80" s="154"/>
      <c r="C80" s="154"/>
      <c r="D80" s="154"/>
      <c r="E80" s="154"/>
      <c r="F80" s="138"/>
      <c r="G80" s="154"/>
      <c r="H80" s="154"/>
      <c r="I80" s="154"/>
      <c r="J80" s="154"/>
    </row>
    <row r="81" spans="1:10">
      <c r="A81" s="154"/>
      <c r="B81" s="154"/>
      <c r="C81" s="154"/>
      <c r="D81" s="154"/>
      <c r="E81" s="154"/>
      <c r="F81" s="138"/>
      <c r="G81" s="154"/>
      <c r="H81" s="154"/>
      <c r="I81" s="154"/>
      <c r="J81" s="154"/>
    </row>
    <row r="82" spans="1:10">
      <c r="A82" s="154"/>
      <c r="B82" s="154"/>
      <c r="C82" s="154"/>
      <c r="D82" s="154"/>
      <c r="E82" s="154"/>
      <c r="F82" s="138"/>
      <c r="G82" s="154"/>
      <c r="H82" s="154"/>
      <c r="I82" s="154"/>
      <c r="J82" s="154"/>
    </row>
    <row r="83" spans="1:10">
      <c r="A83" s="154"/>
      <c r="B83" s="154"/>
      <c r="C83" s="154"/>
      <c r="D83" s="154"/>
      <c r="E83" s="154"/>
      <c r="F83" s="138"/>
      <c r="G83" s="154"/>
      <c r="H83" s="154"/>
      <c r="I83" s="154"/>
      <c r="J83" s="154"/>
    </row>
    <row r="84" spans="1:10">
      <c r="A84" s="154"/>
      <c r="B84" s="154"/>
      <c r="C84" s="154"/>
      <c r="D84" s="154"/>
      <c r="E84" s="154"/>
      <c r="F84" s="138"/>
      <c r="G84" s="154"/>
      <c r="H84" s="154"/>
      <c r="I84" s="154"/>
      <c r="J84" s="154"/>
    </row>
    <row r="85" spans="1:10">
      <c r="A85" s="154"/>
      <c r="B85" s="154"/>
      <c r="C85" s="154"/>
      <c r="D85" s="154"/>
      <c r="E85" s="154"/>
      <c r="F85" s="138"/>
      <c r="G85" s="154"/>
      <c r="H85" s="154"/>
      <c r="I85" s="154"/>
      <c r="J85" s="154"/>
    </row>
    <row r="86" spans="1:10">
      <c r="A86" s="154"/>
      <c r="B86" s="154"/>
      <c r="C86" s="154"/>
      <c r="D86" s="154"/>
      <c r="E86" s="154"/>
      <c r="F86" s="138"/>
      <c r="G86" s="154"/>
      <c r="H86" s="154"/>
      <c r="I86" s="154"/>
      <c r="J86" s="154"/>
    </row>
    <row r="87" spans="1:10">
      <c r="A87" s="154"/>
      <c r="B87" s="154"/>
      <c r="C87" s="154"/>
      <c r="D87" s="154"/>
      <c r="E87" s="154"/>
      <c r="F87" s="138"/>
      <c r="G87" s="154"/>
      <c r="H87" s="154"/>
      <c r="I87" s="154"/>
      <c r="J87" s="154"/>
    </row>
    <row r="88" spans="1:10">
      <c r="A88" s="154"/>
      <c r="B88" s="154"/>
      <c r="C88" s="154"/>
      <c r="D88" s="154"/>
      <c r="E88" s="154"/>
      <c r="F88" s="138"/>
      <c r="G88" s="154"/>
      <c r="H88" s="154"/>
      <c r="I88" s="154"/>
      <c r="J88" s="154"/>
    </row>
    <row r="89" spans="1:10">
      <c r="A89" s="154"/>
      <c r="B89" s="154"/>
      <c r="C89" s="154"/>
      <c r="D89" s="154"/>
      <c r="E89" s="154"/>
      <c r="F89" s="138"/>
      <c r="G89" s="154"/>
      <c r="H89" s="154"/>
      <c r="I89" s="154"/>
      <c r="J89" s="154"/>
    </row>
    <row r="90" spans="1:10">
      <c r="A90" s="154"/>
      <c r="B90" s="154"/>
      <c r="C90" s="154"/>
      <c r="D90" s="154"/>
      <c r="E90" s="154"/>
      <c r="F90" s="138"/>
      <c r="G90" s="154"/>
      <c r="H90" s="154"/>
      <c r="I90" s="154"/>
      <c r="J90" s="154"/>
    </row>
    <row r="91" spans="1:10">
      <c r="A91" s="154"/>
      <c r="B91" s="154"/>
      <c r="C91" s="154"/>
      <c r="D91" s="154"/>
      <c r="E91" s="154"/>
      <c r="F91" s="138"/>
      <c r="G91" s="154"/>
      <c r="H91" s="154"/>
      <c r="I91" s="154"/>
      <c r="J91" s="154"/>
    </row>
    <row r="92" spans="1:10">
      <c r="A92" s="154"/>
      <c r="B92" s="154"/>
      <c r="C92" s="154"/>
      <c r="D92" s="154"/>
      <c r="E92" s="154"/>
      <c r="F92" s="138"/>
      <c r="G92" s="154"/>
      <c r="H92" s="154"/>
      <c r="I92" s="154"/>
      <c r="J92" s="154"/>
    </row>
    <row r="93" spans="1:10">
      <c r="A93" s="154"/>
      <c r="B93" s="154"/>
      <c r="C93" s="154"/>
      <c r="D93" s="154"/>
      <c r="E93" s="154"/>
      <c r="F93" s="138"/>
      <c r="G93" s="154"/>
      <c r="H93" s="154"/>
      <c r="I93" s="154"/>
      <c r="J93" s="154"/>
    </row>
    <row r="94" spans="1:10">
      <c r="A94" s="154"/>
      <c r="B94" s="154"/>
      <c r="C94" s="154"/>
      <c r="D94" s="154"/>
      <c r="E94" s="154"/>
      <c r="F94" s="138"/>
      <c r="G94" s="154"/>
      <c r="H94" s="154"/>
      <c r="I94" s="154"/>
      <c r="J94" s="154"/>
    </row>
    <row r="95" spans="1:10">
      <c r="A95" s="154"/>
      <c r="B95" s="154"/>
      <c r="C95" s="154"/>
      <c r="D95" s="154"/>
      <c r="E95" s="154"/>
      <c r="F95" s="138"/>
      <c r="G95" s="154"/>
      <c r="H95" s="154"/>
      <c r="I95" s="154"/>
      <c r="J95" s="154"/>
    </row>
    <row r="96" spans="1:10">
      <c r="A96" s="154"/>
      <c r="B96" s="154"/>
      <c r="C96" s="154"/>
      <c r="D96" s="154"/>
      <c r="E96" s="154"/>
      <c r="F96" s="138"/>
      <c r="G96" s="154"/>
      <c r="H96" s="154"/>
      <c r="I96" s="154"/>
      <c r="J96" s="154"/>
    </row>
    <row r="97" spans="1:10">
      <c r="A97" s="154"/>
      <c r="B97" s="154"/>
      <c r="C97" s="154"/>
      <c r="D97" s="154"/>
      <c r="E97" s="154"/>
      <c r="F97" s="138"/>
      <c r="G97" s="154"/>
      <c r="H97" s="154"/>
      <c r="I97" s="154"/>
      <c r="J97" s="154"/>
    </row>
    <row r="98" spans="1:10">
      <c r="A98" s="154"/>
      <c r="B98" s="154"/>
      <c r="C98" s="154"/>
      <c r="D98" s="154"/>
      <c r="E98" s="154"/>
      <c r="F98" s="138"/>
      <c r="G98" s="154"/>
      <c r="H98" s="154"/>
      <c r="I98" s="154"/>
      <c r="J98" s="154"/>
    </row>
    <row r="99" spans="1:10">
      <c r="A99" s="154"/>
      <c r="B99" s="154"/>
      <c r="C99" s="154"/>
      <c r="D99" s="154"/>
      <c r="E99" s="154"/>
      <c r="F99" s="138"/>
      <c r="G99" s="154"/>
      <c r="H99" s="154"/>
      <c r="I99" s="154"/>
      <c r="J99" s="154"/>
    </row>
    <row r="100" spans="1:10">
      <c r="A100" s="154"/>
      <c r="B100" s="154"/>
      <c r="C100" s="154"/>
      <c r="D100" s="154"/>
      <c r="E100" s="154"/>
      <c r="F100" s="138"/>
      <c r="G100" s="154"/>
      <c r="H100" s="154"/>
      <c r="I100" s="154"/>
      <c r="J100" s="154"/>
    </row>
    <row r="101" spans="1:10">
      <c r="A101" s="154"/>
      <c r="B101" s="154"/>
      <c r="C101" s="154"/>
      <c r="D101" s="154"/>
      <c r="E101" s="154"/>
      <c r="F101" s="138"/>
      <c r="G101" s="154"/>
      <c r="H101" s="154"/>
      <c r="I101" s="154"/>
      <c r="J101" s="154"/>
    </row>
    <row r="102" spans="1:10">
      <c r="A102" s="154"/>
      <c r="B102" s="154"/>
      <c r="C102" s="154"/>
      <c r="D102" s="154"/>
      <c r="E102" s="154"/>
      <c r="F102" s="138"/>
      <c r="G102" s="154"/>
      <c r="H102" s="154"/>
      <c r="I102" s="154"/>
      <c r="J102" s="154"/>
    </row>
    <row r="103" spans="1:10">
      <c r="A103" s="154"/>
      <c r="B103" s="154"/>
      <c r="C103" s="154"/>
      <c r="D103" s="154"/>
      <c r="E103" s="154"/>
      <c r="F103" s="138"/>
      <c r="G103" s="154"/>
      <c r="H103" s="154"/>
      <c r="I103" s="154"/>
      <c r="J103" s="154"/>
    </row>
    <row r="104" spans="1:10">
      <c r="A104" s="154"/>
      <c r="B104" s="154"/>
      <c r="C104" s="154"/>
      <c r="D104" s="154"/>
      <c r="E104" s="154"/>
      <c r="F104" s="138"/>
      <c r="G104" s="154"/>
      <c r="H104" s="154"/>
      <c r="I104" s="154"/>
      <c r="J104" s="154"/>
    </row>
    <row r="105" spans="1:10">
      <c r="A105" s="154"/>
      <c r="B105" s="154"/>
      <c r="C105" s="154"/>
      <c r="D105" s="154"/>
      <c r="E105" s="154"/>
      <c r="F105" s="138"/>
      <c r="G105" s="154"/>
      <c r="H105" s="154"/>
      <c r="I105" s="154"/>
      <c r="J105" s="154"/>
    </row>
    <row r="106" spans="1:10">
      <c r="A106" s="154"/>
      <c r="B106" s="154"/>
      <c r="C106" s="154"/>
      <c r="D106" s="154"/>
      <c r="E106" s="154"/>
      <c r="F106" s="138"/>
      <c r="G106" s="154"/>
      <c r="H106" s="154"/>
      <c r="I106" s="154"/>
      <c r="J106" s="154"/>
    </row>
    <row r="107" spans="1:10">
      <c r="A107" s="154"/>
      <c r="B107" s="154"/>
      <c r="C107" s="154"/>
      <c r="D107" s="154"/>
      <c r="E107" s="154"/>
      <c r="F107" s="138"/>
      <c r="G107" s="154"/>
      <c r="H107" s="154"/>
      <c r="I107" s="154"/>
      <c r="J107" s="154"/>
    </row>
    <row r="108" spans="1:10">
      <c r="A108" s="154"/>
      <c r="B108" s="154"/>
      <c r="C108" s="154"/>
      <c r="D108" s="154"/>
      <c r="E108" s="154"/>
      <c r="F108" s="138"/>
      <c r="G108" s="154"/>
      <c r="H108" s="154"/>
      <c r="I108" s="154"/>
      <c r="J108" s="154"/>
    </row>
    <row r="109" spans="1:10">
      <c r="A109" s="154"/>
      <c r="B109" s="154"/>
      <c r="C109" s="154"/>
      <c r="D109" s="154"/>
      <c r="E109" s="154"/>
      <c r="F109" s="138"/>
      <c r="G109" s="154"/>
      <c r="H109" s="154"/>
      <c r="I109" s="154"/>
      <c r="J109" s="154"/>
    </row>
    <row r="110" spans="1:10">
      <c r="A110" s="154"/>
      <c r="B110" s="154"/>
      <c r="C110" s="154"/>
      <c r="D110" s="154"/>
      <c r="E110" s="154"/>
      <c r="F110" s="138"/>
      <c r="G110" s="154"/>
      <c r="H110" s="154"/>
      <c r="I110" s="154"/>
      <c r="J110" s="154"/>
    </row>
    <row r="111" spans="1:10">
      <c r="A111" s="154"/>
      <c r="B111" s="154"/>
      <c r="C111" s="154"/>
      <c r="D111" s="154"/>
      <c r="E111" s="154"/>
      <c r="F111" s="138"/>
      <c r="G111" s="154"/>
      <c r="H111" s="154"/>
      <c r="I111" s="154"/>
      <c r="J111" s="154"/>
    </row>
    <row r="112" spans="1:10">
      <c r="A112" s="154"/>
      <c r="B112" s="154"/>
      <c r="C112" s="154"/>
      <c r="D112" s="154"/>
      <c r="E112" s="154"/>
      <c r="F112" s="138"/>
      <c r="G112" s="154"/>
      <c r="H112" s="154"/>
      <c r="I112" s="154"/>
      <c r="J112" s="154"/>
    </row>
    <row r="113" spans="1:10">
      <c r="A113" s="154"/>
      <c r="B113" s="154"/>
      <c r="C113" s="154"/>
      <c r="D113" s="154"/>
      <c r="E113" s="154"/>
      <c r="F113" s="138"/>
      <c r="G113" s="154"/>
      <c r="H113" s="154"/>
      <c r="I113" s="154"/>
      <c r="J113" s="154"/>
    </row>
    <row r="114" spans="1:10">
      <c r="A114" s="154"/>
      <c r="B114" s="154"/>
      <c r="C114" s="154"/>
      <c r="D114" s="154"/>
      <c r="E114" s="154"/>
      <c r="F114" s="138"/>
      <c r="G114" s="154"/>
      <c r="H114" s="154"/>
      <c r="I114" s="154"/>
      <c r="J114" s="154"/>
    </row>
    <row r="115" spans="1:10">
      <c r="A115" s="154"/>
      <c r="B115" s="154"/>
      <c r="C115" s="154"/>
      <c r="D115" s="154"/>
      <c r="E115" s="154"/>
      <c r="F115" s="138"/>
      <c r="G115" s="154"/>
      <c r="H115" s="154"/>
      <c r="I115" s="154"/>
      <c r="J115" s="154"/>
    </row>
    <row r="116" spans="1:10">
      <c r="A116" s="154"/>
      <c r="B116" s="154"/>
      <c r="C116" s="154"/>
      <c r="D116" s="154"/>
      <c r="E116" s="154"/>
      <c r="F116" s="138"/>
      <c r="G116" s="154"/>
      <c r="H116" s="154"/>
      <c r="I116" s="154"/>
      <c r="J116" s="154"/>
    </row>
    <row r="117" spans="1:10">
      <c r="A117" s="154"/>
      <c r="B117" s="154"/>
      <c r="C117" s="154"/>
      <c r="D117" s="154"/>
      <c r="E117" s="154"/>
      <c r="F117" s="138"/>
      <c r="G117" s="154"/>
      <c r="H117" s="154"/>
      <c r="I117" s="154"/>
      <c r="J117" s="154"/>
    </row>
    <row r="118" spans="1:10">
      <c r="A118" s="154"/>
      <c r="B118" s="154"/>
      <c r="C118" s="154"/>
      <c r="D118" s="154"/>
      <c r="E118" s="154"/>
      <c r="F118" s="138"/>
      <c r="G118" s="154"/>
      <c r="H118" s="154"/>
      <c r="I118" s="154"/>
      <c r="J118" s="154"/>
    </row>
    <row r="119" spans="1:10">
      <c r="A119" s="154"/>
      <c r="B119" s="154"/>
      <c r="C119" s="154"/>
      <c r="D119" s="154"/>
      <c r="E119" s="154"/>
      <c r="F119" s="138"/>
      <c r="G119" s="154"/>
      <c r="H119" s="154"/>
      <c r="I119" s="154"/>
      <c r="J119" s="154"/>
    </row>
    <row r="120" spans="1:10">
      <c r="A120" s="154"/>
      <c r="B120" s="154"/>
      <c r="C120" s="154"/>
      <c r="D120" s="154"/>
      <c r="E120" s="154"/>
      <c r="F120" s="138"/>
      <c r="G120" s="154"/>
      <c r="H120" s="154"/>
      <c r="I120" s="154"/>
      <c r="J120" s="154"/>
    </row>
    <row r="121" spans="1:10">
      <c r="A121" s="154"/>
      <c r="B121" s="154"/>
      <c r="C121" s="154"/>
      <c r="D121" s="154"/>
      <c r="E121" s="154"/>
      <c r="F121" s="138"/>
      <c r="G121" s="154"/>
      <c r="H121" s="154"/>
      <c r="I121" s="154"/>
      <c r="J121" s="154"/>
    </row>
    <row r="122" spans="1:10">
      <c r="A122" s="154"/>
      <c r="B122" s="154"/>
      <c r="C122" s="154"/>
      <c r="D122" s="154"/>
      <c r="E122" s="154"/>
      <c r="F122" s="138"/>
      <c r="G122" s="154"/>
      <c r="H122" s="154"/>
      <c r="I122" s="154"/>
      <c r="J122" s="154"/>
    </row>
    <row r="123" spans="1:10">
      <c r="A123" s="154"/>
      <c r="B123" s="154"/>
      <c r="C123" s="154"/>
      <c r="D123" s="154"/>
      <c r="E123" s="154"/>
      <c r="F123" s="138"/>
      <c r="G123" s="154"/>
      <c r="H123" s="154"/>
      <c r="I123" s="154"/>
      <c r="J123" s="154"/>
    </row>
    <row r="124" spans="1:10">
      <c r="A124" s="154"/>
      <c r="B124" s="154"/>
      <c r="C124" s="154"/>
      <c r="D124" s="154"/>
      <c r="E124" s="154"/>
      <c r="F124" s="138"/>
      <c r="G124" s="154"/>
      <c r="H124" s="154"/>
      <c r="I124" s="154"/>
      <c r="J124" s="154"/>
    </row>
    <row r="125" spans="1:10">
      <c r="A125" s="154"/>
      <c r="B125" s="154"/>
      <c r="C125" s="154"/>
      <c r="D125" s="154"/>
      <c r="E125" s="154"/>
      <c r="F125" s="138"/>
      <c r="G125" s="154"/>
      <c r="H125" s="154"/>
      <c r="I125" s="154"/>
      <c r="J125" s="154"/>
    </row>
    <row r="126" spans="1:10">
      <c r="A126" s="154"/>
      <c r="B126" s="154"/>
      <c r="C126" s="154"/>
      <c r="D126" s="154"/>
      <c r="E126" s="154"/>
      <c r="F126" s="138"/>
      <c r="G126" s="154"/>
      <c r="H126" s="154"/>
      <c r="I126" s="154"/>
      <c r="J126" s="154"/>
    </row>
  </sheetData>
  <mergeCells count="3">
    <mergeCell ref="A1:H1"/>
    <mergeCell ref="F5:G5"/>
    <mergeCell ref="H5:I5"/>
  </mergeCells>
  <pageMargins left="0.70866141732283472" right="0.70866141732283472" top="0.74803149606299213" bottom="0.74803149606299213" header="0.31496062992125984" footer="0.31496062992125984"/>
  <pageSetup paperSize="9" scale="58" orientation="portrait" r:id="rId1"/>
  <headerFooter>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
  <sheetViews>
    <sheetView view="pageBreakPreview" topLeftCell="A27" zoomScaleNormal="100" zoomScaleSheetLayoutView="100" zoomScalePageLayoutView="70" workbookViewId="0">
      <selection activeCell="B46" sqref="B46"/>
    </sheetView>
  </sheetViews>
  <sheetFormatPr defaultColWidth="9.140625" defaultRowHeight="12.75"/>
  <cols>
    <col min="1" max="1" width="5.140625" style="257" customWidth="1"/>
    <col min="2" max="2" width="2.7109375" style="244" customWidth="1"/>
    <col min="3" max="3" width="2" style="244" customWidth="1"/>
    <col min="4" max="4" width="4.7109375" style="244" customWidth="1"/>
    <col min="5" max="6" width="4.42578125" style="244" customWidth="1"/>
    <col min="7" max="7" width="6.140625" style="244" bestFit="1" customWidth="1"/>
    <col min="8" max="8" width="4.5703125" style="244" customWidth="1"/>
    <col min="9" max="11" width="6.5703125" style="244" customWidth="1"/>
    <col min="12" max="12" width="24.7109375" style="244" customWidth="1"/>
    <col min="13" max="13" width="11.42578125" style="258" customWidth="1"/>
    <col min="14" max="14" width="2.85546875" style="258" customWidth="1"/>
    <col min="15" max="15" width="11.42578125" style="258" customWidth="1"/>
    <col min="16" max="16" width="2.85546875" style="244" customWidth="1"/>
    <col min="17" max="17" width="11.42578125" style="244" customWidth="1"/>
    <col min="18" max="18" width="1.28515625" style="244" hidden="1" customWidth="1"/>
    <col min="19" max="19" width="2.85546875" style="244" customWidth="1"/>
    <col min="20" max="20" width="11.42578125" style="244" customWidth="1"/>
    <col min="21" max="21" width="2.28515625" style="244" customWidth="1"/>
    <col min="22" max="22" width="2.140625" style="244" customWidth="1"/>
    <col min="23" max="23" width="4.7109375" style="244" customWidth="1"/>
    <col min="24" max="24" width="1.28515625" style="244" customWidth="1"/>
    <col min="25" max="25" width="2.7109375" style="244" customWidth="1"/>
    <col min="26" max="26" width="6.7109375" style="244" customWidth="1"/>
    <col min="27" max="27" width="7.140625" style="244" customWidth="1"/>
    <col min="28" max="16384" width="9.140625" style="244"/>
  </cols>
  <sheetData>
    <row r="1" spans="1:26" s="242" customFormat="1" ht="30" customHeight="1">
      <c r="A1" s="354" t="s">
        <v>298</v>
      </c>
    </row>
    <row r="2" spans="1:26" s="243" customFormat="1" ht="19.5" customHeight="1">
      <c r="A2" s="355" t="s">
        <v>129</v>
      </c>
    </row>
    <row r="3" spans="1:26" ht="15" customHeight="1" thickBot="1">
      <c r="A3" s="356"/>
      <c r="B3" s="302"/>
      <c r="C3" s="302"/>
      <c r="D3" s="302"/>
      <c r="E3" s="302"/>
      <c r="F3" s="302"/>
      <c r="G3" s="302"/>
      <c r="H3" s="302"/>
      <c r="I3" s="302"/>
      <c r="J3" s="302"/>
      <c r="K3" s="302"/>
      <c r="L3" s="302"/>
      <c r="M3" s="302"/>
      <c r="N3" s="302"/>
      <c r="O3" s="302"/>
      <c r="P3" s="301"/>
      <c r="Q3" s="301"/>
      <c r="R3" s="301"/>
      <c r="S3" s="301"/>
      <c r="T3" s="301"/>
    </row>
    <row r="4" spans="1:26" ht="15" customHeight="1">
      <c r="A4" s="357"/>
      <c r="B4" s="303"/>
      <c r="C4" s="303"/>
      <c r="D4" s="303"/>
      <c r="E4" s="303"/>
      <c r="F4" s="303"/>
      <c r="G4" s="303"/>
      <c r="H4" s="303"/>
      <c r="I4" s="303"/>
      <c r="J4" s="303"/>
      <c r="K4" s="303"/>
      <c r="L4" s="303"/>
      <c r="M4" s="303"/>
      <c r="N4" s="303"/>
      <c r="O4" s="303"/>
      <c r="P4" s="259"/>
      <c r="Q4" s="259"/>
      <c r="R4" s="259"/>
      <c r="S4" s="259"/>
      <c r="T4" s="259"/>
    </row>
    <row r="5" spans="1:26" ht="15" customHeight="1">
      <c r="A5" s="358">
        <v>19</v>
      </c>
      <c r="B5" s="303" t="s">
        <v>78</v>
      </c>
      <c r="C5" s="303"/>
      <c r="D5" s="303"/>
      <c r="E5" s="303"/>
      <c r="F5" s="303"/>
      <c r="G5" s="303"/>
      <c r="H5" s="303"/>
      <c r="I5" s="303"/>
      <c r="J5" s="303"/>
      <c r="K5" s="303"/>
      <c r="L5" s="303"/>
      <c r="M5" s="303"/>
      <c r="N5" s="303"/>
      <c r="O5" s="303"/>
      <c r="P5" s="259"/>
      <c r="Q5" s="259"/>
      <c r="R5" s="259"/>
      <c r="S5" s="259"/>
      <c r="T5" s="259"/>
    </row>
    <row r="6" spans="1:26" ht="14.25" customHeight="1">
      <c r="A6" s="357"/>
      <c r="B6" s="303"/>
      <c r="C6" s="303"/>
      <c r="D6" s="303"/>
      <c r="E6" s="303"/>
      <c r="F6" s="303"/>
      <c r="G6" s="303"/>
      <c r="H6" s="303"/>
      <c r="I6" s="303"/>
      <c r="J6" s="303"/>
      <c r="K6" s="303"/>
      <c r="L6" s="303"/>
      <c r="M6" s="825" t="s">
        <v>18</v>
      </c>
      <c r="N6" s="825"/>
      <c r="O6" s="825"/>
      <c r="P6" s="241"/>
      <c r="Q6" s="826" t="s">
        <v>19</v>
      </c>
      <c r="R6" s="826"/>
      <c r="S6" s="826"/>
      <c r="T6" s="826"/>
    </row>
    <row r="7" spans="1:26" ht="15" customHeight="1">
      <c r="A7" s="357"/>
      <c r="B7" s="303"/>
      <c r="C7" s="303"/>
      <c r="D7" s="303"/>
      <c r="E7" s="303"/>
      <c r="F7" s="303"/>
      <c r="G7" s="303"/>
      <c r="H7" s="303"/>
      <c r="I7" s="303"/>
      <c r="J7" s="303"/>
      <c r="K7" s="303"/>
      <c r="L7" s="303"/>
      <c r="M7" s="247" t="s">
        <v>21</v>
      </c>
      <c r="N7" s="247"/>
      <c r="O7" s="247" t="s">
        <v>22</v>
      </c>
      <c r="P7" s="253"/>
      <c r="Q7" s="248" t="s">
        <v>21</v>
      </c>
      <c r="R7" s="248"/>
      <c r="S7" s="248"/>
      <c r="T7" s="248" t="s">
        <v>22</v>
      </c>
    </row>
    <row r="8" spans="1:26" ht="15" customHeight="1">
      <c r="A8" s="357"/>
      <c r="B8" s="303"/>
      <c r="C8" s="303"/>
      <c r="D8" s="303"/>
      <c r="E8" s="303"/>
      <c r="F8" s="303"/>
      <c r="G8" s="303"/>
      <c r="H8" s="303"/>
      <c r="I8" s="303"/>
      <c r="J8" s="303"/>
      <c r="K8" s="303"/>
      <c r="L8" s="303"/>
      <c r="M8" s="247" t="s">
        <v>23</v>
      </c>
      <c r="N8" s="247"/>
      <c r="O8" s="247" t="s">
        <v>23</v>
      </c>
      <c r="P8" s="250"/>
      <c r="Q8" s="248" t="s">
        <v>23</v>
      </c>
      <c r="R8" s="248"/>
      <c r="S8" s="248"/>
      <c r="T8" s="248" t="s">
        <v>23</v>
      </c>
    </row>
    <row r="9" spans="1:26" ht="15" customHeight="1">
      <c r="A9" s="357"/>
      <c r="B9" s="303"/>
      <c r="C9" s="303"/>
      <c r="D9" s="303"/>
      <c r="E9" s="303"/>
      <c r="F9" s="303"/>
      <c r="G9" s="303"/>
      <c r="H9" s="303"/>
      <c r="I9" s="303"/>
      <c r="J9" s="303"/>
      <c r="K9" s="303"/>
      <c r="L9" s="303"/>
      <c r="M9" s="247"/>
      <c r="N9" s="247"/>
      <c r="O9" s="247"/>
      <c r="P9" s="250"/>
      <c r="Q9" s="248"/>
      <c r="R9" s="248"/>
      <c r="S9" s="248"/>
      <c r="T9" s="248"/>
    </row>
    <row r="10" spans="1:26" ht="15" customHeight="1">
      <c r="A10" s="357"/>
      <c r="B10" s="259" t="s">
        <v>492</v>
      </c>
      <c r="C10" s="259"/>
      <c r="D10" s="303"/>
      <c r="E10" s="303"/>
      <c r="F10" s="303"/>
      <c r="G10" s="303"/>
      <c r="H10" s="303"/>
      <c r="I10" s="303"/>
      <c r="J10" s="303"/>
      <c r="K10" s="303"/>
      <c r="L10" s="303"/>
      <c r="M10" s="247">
        <v>1062</v>
      </c>
      <c r="N10" s="247"/>
      <c r="O10" s="247">
        <v>1954</v>
      </c>
      <c r="P10" s="250"/>
      <c r="Q10" s="248">
        <v>1499</v>
      </c>
      <c r="R10" s="248"/>
      <c r="S10" s="248"/>
      <c r="T10" s="248">
        <v>3462</v>
      </c>
    </row>
    <row r="11" spans="1:26" ht="15" customHeight="1">
      <c r="A11" s="357"/>
      <c r="B11" s="259" t="s">
        <v>493</v>
      </c>
      <c r="C11" s="259"/>
      <c r="D11" s="303"/>
      <c r="E11" s="303"/>
      <c r="F11" s="303"/>
      <c r="G11" s="303"/>
      <c r="H11" s="303"/>
      <c r="I11" s="303"/>
      <c r="J11" s="303"/>
      <c r="K11" s="303"/>
      <c r="L11" s="303"/>
      <c r="M11" s="247">
        <v>0</v>
      </c>
      <c r="N11" s="247"/>
      <c r="O11" s="247">
        <v>0</v>
      </c>
      <c r="P11" s="250"/>
      <c r="Q11" s="248">
        <v>0</v>
      </c>
      <c r="R11" s="248"/>
      <c r="S11" s="248"/>
      <c r="T11" s="248">
        <v>0</v>
      </c>
    </row>
    <row r="12" spans="1:26" ht="15" customHeight="1">
      <c r="A12" s="357"/>
      <c r="B12" s="259" t="s">
        <v>494</v>
      </c>
      <c r="C12" s="259"/>
      <c r="D12" s="303"/>
      <c r="E12" s="303"/>
      <c r="F12" s="303"/>
      <c r="G12" s="303"/>
      <c r="H12" s="303"/>
      <c r="I12" s="303"/>
      <c r="J12" s="303"/>
      <c r="K12" s="303"/>
      <c r="L12" s="303"/>
      <c r="M12" s="247">
        <v>0</v>
      </c>
      <c r="N12" s="247"/>
      <c r="O12" s="247">
        <v>0</v>
      </c>
      <c r="P12" s="250"/>
      <c r="Q12" s="248">
        <v>0</v>
      </c>
      <c r="R12" s="248"/>
      <c r="S12" s="248"/>
      <c r="T12" s="248">
        <v>0</v>
      </c>
    </row>
    <row r="13" spans="1:26" ht="15" customHeight="1" thickBot="1">
      <c r="A13" s="357"/>
      <c r="B13" s="259" t="s">
        <v>362</v>
      </c>
      <c r="C13" s="303"/>
      <c r="D13" s="303"/>
      <c r="E13" s="303"/>
      <c r="F13" s="303"/>
      <c r="G13" s="303"/>
      <c r="H13" s="303"/>
      <c r="I13" s="303"/>
      <c r="J13" s="303"/>
      <c r="K13" s="303"/>
      <c r="L13" s="303"/>
      <c r="M13" s="85">
        <f>SUM(M10:M12)</f>
        <v>1062</v>
      </c>
      <c r="N13" s="247"/>
      <c r="O13" s="85">
        <f>SUM(O10:O12)</f>
        <v>1954</v>
      </c>
      <c r="P13" s="245"/>
      <c r="Q13" s="86">
        <f>SUM(Q10:Q12)</f>
        <v>1499</v>
      </c>
      <c r="R13" s="86"/>
      <c r="S13" s="248"/>
      <c r="T13" s="86">
        <f>SUM(T10:T12)</f>
        <v>3462</v>
      </c>
    </row>
    <row r="14" spans="1:26" ht="15" customHeight="1" thickTop="1">
      <c r="A14" s="357"/>
      <c r="B14" s="303"/>
      <c r="C14" s="303"/>
      <c r="D14" s="303"/>
      <c r="E14" s="303"/>
      <c r="F14" s="303"/>
      <c r="G14" s="303"/>
      <c r="H14" s="303"/>
      <c r="I14" s="303"/>
      <c r="J14" s="303"/>
      <c r="K14" s="303"/>
      <c r="L14" s="303"/>
      <c r="M14" s="247"/>
      <c r="N14" s="247"/>
      <c r="O14" s="247"/>
      <c r="P14" s="250"/>
      <c r="Q14" s="248"/>
      <c r="R14" s="248"/>
      <c r="S14" s="248"/>
      <c r="T14" s="248"/>
    </row>
    <row r="15" spans="1:26" ht="15" customHeight="1">
      <c r="A15" s="357"/>
      <c r="B15" s="303"/>
      <c r="C15" s="303"/>
      <c r="D15" s="303"/>
      <c r="E15" s="303"/>
      <c r="F15" s="303"/>
      <c r="G15" s="303"/>
      <c r="H15" s="303"/>
      <c r="I15" s="303"/>
      <c r="J15" s="303"/>
      <c r="K15" s="303"/>
      <c r="L15" s="303"/>
      <c r="M15" s="247"/>
      <c r="N15" s="247"/>
      <c r="O15" s="247"/>
      <c r="P15" s="250"/>
      <c r="Q15" s="248"/>
      <c r="R15" s="248"/>
      <c r="S15" s="248"/>
      <c r="T15" s="248"/>
    </row>
    <row r="16" spans="1:26" ht="15" customHeight="1">
      <c r="A16" s="304"/>
      <c r="B16" s="305"/>
      <c r="C16" s="256"/>
      <c r="D16" s="256"/>
      <c r="E16" s="256"/>
      <c r="F16" s="256"/>
      <c r="G16" s="256"/>
      <c r="H16" s="256"/>
      <c r="Q16" s="306"/>
      <c r="R16" s="306"/>
      <c r="S16" s="306"/>
      <c r="T16" s="306"/>
      <c r="Z16" s="250"/>
    </row>
    <row r="17" spans="1:20" s="250" customFormat="1" ht="15" customHeight="1">
      <c r="A17" s="240">
        <v>20</v>
      </c>
      <c r="B17" s="241" t="s">
        <v>79</v>
      </c>
      <c r="M17" s="241"/>
      <c r="N17" s="241"/>
      <c r="O17" s="241"/>
      <c r="Q17" s="251"/>
      <c r="R17" s="245"/>
      <c r="S17" s="245"/>
      <c r="T17" s="245"/>
    </row>
    <row r="18" spans="1:20" s="250" customFormat="1" ht="15" customHeight="1">
      <c r="A18" s="240"/>
      <c r="B18" s="241"/>
      <c r="M18" s="825" t="str">
        <f>CSCI!F6</f>
        <v>Consolidated</v>
      </c>
      <c r="N18" s="825"/>
      <c r="O18" s="825"/>
      <c r="P18" s="241"/>
      <c r="Q18" s="251"/>
      <c r="R18" s="307" t="e">
        <f>+#REF!</f>
        <v>#REF!</v>
      </c>
      <c r="S18" s="307" t="str">
        <f>CSCI!H6</f>
        <v>Consolidated</v>
      </c>
      <c r="T18" s="251"/>
    </row>
    <row r="19" spans="1:20" s="250" customFormat="1" ht="15" customHeight="1">
      <c r="A19" s="240"/>
      <c r="B19" s="241"/>
      <c r="L19" s="253"/>
      <c r="M19" s="247" t="s">
        <v>21</v>
      </c>
      <c r="N19" s="247"/>
      <c r="O19" s="247" t="s">
        <v>22</v>
      </c>
      <c r="P19" s="253"/>
      <c r="Q19" s="248" t="s">
        <v>21</v>
      </c>
      <c r="R19" s="248"/>
      <c r="S19" s="248"/>
      <c r="T19" s="248" t="s">
        <v>22</v>
      </c>
    </row>
    <row r="20" spans="1:20" s="250" customFormat="1" ht="15" customHeight="1">
      <c r="A20" s="240"/>
      <c r="B20" s="241"/>
      <c r="L20" s="253"/>
      <c r="M20" s="247" t="s">
        <v>23</v>
      </c>
      <c r="N20" s="247"/>
      <c r="O20" s="247" t="s">
        <v>23</v>
      </c>
      <c r="Q20" s="248" t="s">
        <v>23</v>
      </c>
      <c r="R20" s="248"/>
      <c r="S20" s="248"/>
      <c r="T20" s="248" t="s">
        <v>23</v>
      </c>
    </row>
    <row r="21" spans="1:20" s="250" customFormat="1" ht="15" customHeight="1">
      <c r="A21" s="240"/>
      <c r="B21" s="250" t="s">
        <v>495</v>
      </c>
      <c r="M21" s="247"/>
      <c r="N21" s="308"/>
      <c r="O21" s="247"/>
      <c r="Q21" s="248"/>
      <c r="R21" s="248"/>
      <c r="S21" s="254"/>
      <c r="T21" s="254"/>
    </row>
    <row r="22" spans="1:20" s="250" customFormat="1" ht="15" customHeight="1">
      <c r="A22" s="249"/>
      <c r="B22" s="309" t="s">
        <v>496</v>
      </c>
      <c r="M22" s="310">
        <v>6020</v>
      </c>
      <c r="N22" s="247"/>
      <c r="O22" s="310">
        <v>5214</v>
      </c>
      <c r="P22" s="311"/>
      <c r="Q22" s="254">
        <v>7687</v>
      </c>
      <c r="R22" s="248"/>
      <c r="S22" s="245"/>
      <c r="T22" s="254">
        <v>7353</v>
      </c>
    </row>
    <row r="23" spans="1:20" s="250" customFormat="1" ht="15" customHeight="1">
      <c r="A23" s="249"/>
      <c r="B23" s="309" t="s">
        <v>497</v>
      </c>
      <c r="M23" s="310">
        <v>2420</v>
      </c>
      <c r="N23" s="247"/>
      <c r="O23" s="310">
        <v>1120</v>
      </c>
      <c r="P23" s="311"/>
      <c r="Q23" s="254">
        <v>5040</v>
      </c>
      <c r="R23" s="248"/>
      <c r="S23" s="245"/>
      <c r="T23" s="254">
        <v>4981</v>
      </c>
    </row>
    <row r="24" spans="1:20" s="250" customFormat="1" ht="15" customHeight="1">
      <c r="A24" s="249"/>
      <c r="B24" s="309" t="s">
        <v>498</v>
      </c>
      <c r="M24" s="310">
        <v>0</v>
      </c>
      <c r="N24" s="247"/>
      <c r="O24" s="310">
        <v>0</v>
      </c>
      <c r="P24" s="311"/>
      <c r="Q24" s="254">
        <v>0</v>
      </c>
      <c r="R24" s="248"/>
      <c r="S24" s="245"/>
      <c r="T24" s="254">
        <v>0</v>
      </c>
    </row>
    <row r="25" spans="1:20" s="250" customFormat="1" ht="15" customHeight="1">
      <c r="A25" s="249"/>
      <c r="B25" s="309" t="s">
        <v>499</v>
      </c>
      <c r="M25" s="310">
        <v>541</v>
      </c>
      <c r="N25" s="247"/>
      <c r="O25" s="310">
        <v>416</v>
      </c>
      <c r="P25" s="253"/>
      <c r="Q25" s="254">
        <v>540</v>
      </c>
      <c r="R25" s="248"/>
      <c r="S25" s="245"/>
      <c r="T25" s="254">
        <v>466</v>
      </c>
    </row>
    <row r="26" spans="1:20" s="250" customFormat="1" ht="15" customHeight="1">
      <c r="A26" s="249"/>
      <c r="B26" s="309" t="s">
        <v>500</v>
      </c>
      <c r="H26" s="249"/>
      <c r="M26" s="310">
        <v>0</v>
      </c>
      <c r="N26" s="247"/>
      <c r="O26" s="310">
        <v>946</v>
      </c>
      <c r="Q26" s="254">
        <v>0</v>
      </c>
      <c r="R26" s="248"/>
      <c r="S26" s="245"/>
      <c r="T26" s="254">
        <v>2007</v>
      </c>
    </row>
    <row r="27" spans="1:20" s="250" customFormat="1" ht="15" customHeight="1">
      <c r="A27" s="249"/>
      <c r="B27" s="309" t="s">
        <v>501</v>
      </c>
      <c r="H27" s="249"/>
      <c r="M27" s="310">
        <v>0</v>
      </c>
      <c r="N27" s="247"/>
      <c r="O27" s="310">
        <v>0</v>
      </c>
      <c r="Q27" s="254">
        <v>0</v>
      </c>
      <c r="R27" s="248"/>
      <c r="S27" s="245"/>
      <c r="T27" s="254">
        <v>0</v>
      </c>
    </row>
    <row r="28" spans="1:20" s="250" customFormat="1" ht="15" customHeight="1">
      <c r="A28" s="249"/>
      <c r="B28" s="309" t="s">
        <v>502</v>
      </c>
      <c r="H28" s="249"/>
      <c r="M28" s="310">
        <v>0</v>
      </c>
      <c r="N28" s="246" t="s">
        <v>362</v>
      </c>
      <c r="O28" s="310">
        <v>0</v>
      </c>
      <c r="P28" s="250" t="s">
        <v>362</v>
      </c>
      <c r="Q28" s="254">
        <v>0</v>
      </c>
      <c r="R28" s="245" t="s">
        <v>362</v>
      </c>
      <c r="S28" s="245"/>
      <c r="T28" s="254">
        <v>10</v>
      </c>
    </row>
    <row r="29" spans="1:20" s="250" customFormat="1" ht="15" customHeight="1">
      <c r="A29" s="249"/>
      <c r="B29" s="309" t="s">
        <v>294</v>
      </c>
      <c r="H29" s="249"/>
      <c r="M29" s="310">
        <v>0</v>
      </c>
      <c r="N29" s="246"/>
      <c r="O29" s="310">
        <v>0</v>
      </c>
      <c r="Q29" s="254">
        <v>0</v>
      </c>
      <c r="R29" s="245"/>
      <c r="S29" s="245"/>
      <c r="T29" s="254">
        <v>0</v>
      </c>
    </row>
    <row r="30" spans="1:20" s="250" customFormat="1" ht="15" customHeight="1" thickBot="1">
      <c r="A30" s="249"/>
      <c r="M30" s="87">
        <f>SUM(M22:M29)</f>
        <v>8981</v>
      </c>
      <c r="N30" s="246"/>
      <c r="O30" s="87">
        <f>SUM(O22:O29)</f>
        <v>7696</v>
      </c>
      <c r="Q30" s="88">
        <f>SUM(Q22:Q29)</f>
        <v>13267</v>
      </c>
      <c r="R30" s="245"/>
      <c r="S30" s="245"/>
      <c r="T30" s="88">
        <f>SUM(T22:T29)</f>
        <v>14817</v>
      </c>
    </row>
    <row r="31" spans="1:20" s="250" customFormat="1" ht="15" customHeight="1" thickTop="1">
      <c r="A31" s="249"/>
      <c r="M31" s="310"/>
      <c r="N31" s="246"/>
      <c r="O31" s="310"/>
      <c r="Q31" s="254"/>
      <c r="R31" s="245"/>
      <c r="S31" s="245"/>
      <c r="T31" s="254"/>
    </row>
    <row r="32" spans="1:20" s="250" customFormat="1" ht="15" customHeight="1">
      <c r="A32" s="249"/>
      <c r="B32" s="233" t="s">
        <v>503</v>
      </c>
      <c r="C32" s="233"/>
      <c r="D32" s="233"/>
      <c r="E32" s="233"/>
      <c r="F32" s="233"/>
      <c r="G32" s="233"/>
      <c r="H32" s="233"/>
      <c r="I32" s="233"/>
      <c r="J32" s="233"/>
      <c r="K32" s="233"/>
      <c r="L32" s="233"/>
      <c r="M32" s="371"/>
      <c r="N32" s="238"/>
      <c r="O32" s="371"/>
      <c r="P32" s="233"/>
      <c r="Q32" s="237"/>
      <c r="R32" s="235"/>
      <c r="S32" s="235"/>
      <c r="T32" s="237"/>
    </row>
    <row r="33" spans="1:20" s="315" customFormat="1" ht="15" customHeight="1">
      <c r="A33" s="312"/>
      <c r="B33" s="233" t="s">
        <v>504</v>
      </c>
      <c r="C33" s="234"/>
      <c r="D33" s="234"/>
      <c r="E33" s="234"/>
      <c r="F33" s="234"/>
      <c r="G33" s="234"/>
      <c r="H33" s="234"/>
      <c r="I33" s="234"/>
      <c r="J33" s="234"/>
      <c r="K33" s="234"/>
      <c r="L33" s="234"/>
      <c r="M33" s="371"/>
      <c r="N33" s="372"/>
      <c r="O33" s="373"/>
      <c r="P33" s="374"/>
      <c r="Q33" s="373"/>
      <c r="R33" s="372"/>
      <c r="S33" s="372"/>
      <c r="T33" s="373"/>
    </row>
    <row r="34" spans="1:20" s="250" customFormat="1" ht="15" customHeight="1">
      <c r="A34" s="249"/>
      <c r="C34" s="241"/>
      <c r="D34" s="241"/>
      <c r="E34" s="241"/>
      <c r="F34" s="241"/>
      <c r="G34" s="241"/>
      <c r="H34" s="241" t="s">
        <v>362</v>
      </c>
      <c r="I34" s="241"/>
      <c r="J34" s="241"/>
      <c r="K34" s="241"/>
      <c r="L34" s="241" t="s">
        <v>362</v>
      </c>
      <c r="M34" s="310"/>
      <c r="N34" s="246" t="s">
        <v>362</v>
      </c>
      <c r="O34" s="316"/>
      <c r="P34" s="250" t="s">
        <v>362</v>
      </c>
      <c r="Q34" s="317"/>
      <c r="R34" s="245" t="s">
        <v>362</v>
      </c>
      <c r="S34" s="245"/>
      <c r="T34" s="317"/>
    </row>
    <row r="35" spans="1:20" s="250" customFormat="1" ht="15" customHeight="1">
      <c r="A35" s="240">
        <v>21</v>
      </c>
      <c r="B35" s="241" t="s">
        <v>505</v>
      </c>
      <c r="G35" s="360"/>
      <c r="M35" s="316"/>
      <c r="N35" s="246"/>
      <c r="O35" s="316"/>
      <c r="Q35" s="317"/>
      <c r="R35" s="245"/>
      <c r="S35" s="245"/>
      <c r="T35" s="317"/>
    </row>
    <row r="36" spans="1:20" s="250" customFormat="1" ht="15" customHeight="1">
      <c r="A36" s="240"/>
      <c r="B36" s="241"/>
      <c r="M36" s="825" t="s">
        <v>18</v>
      </c>
      <c r="N36" s="825"/>
      <c r="O36" s="825"/>
      <c r="P36" s="241"/>
      <c r="Q36" s="826" t="s">
        <v>19</v>
      </c>
      <c r="R36" s="826"/>
      <c r="S36" s="826"/>
      <c r="T36" s="826"/>
    </row>
    <row r="37" spans="1:20" s="250" customFormat="1" ht="15" customHeight="1">
      <c r="A37" s="249"/>
      <c r="B37" s="255"/>
      <c r="C37" s="255"/>
      <c r="D37" s="255"/>
      <c r="E37" s="255"/>
      <c r="F37" s="255"/>
      <c r="G37" s="255"/>
      <c r="H37" s="255"/>
      <c r="I37" s="255"/>
      <c r="J37" s="255"/>
      <c r="K37" s="255"/>
      <c r="M37" s="247" t="s">
        <v>21</v>
      </c>
      <c r="N37" s="247"/>
      <c r="O37" s="247" t="s">
        <v>22</v>
      </c>
      <c r="P37" s="249"/>
      <c r="Q37" s="248" t="s">
        <v>21</v>
      </c>
      <c r="R37" s="248"/>
      <c r="S37" s="248"/>
      <c r="T37" s="248" t="s">
        <v>22</v>
      </c>
    </row>
    <row r="38" spans="1:20" s="250" customFormat="1" ht="15" customHeight="1">
      <c r="A38" s="249"/>
      <c r="B38" s="255"/>
      <c r="C38" s="255"/>
      <c r="D38" s="255"/>
      <c r="E38" s="255"/>
      <c r="F38" s="255"/>
      <c r="G38" s="255"/>
      <c r="H38" s="255"/>
      <c r="I38" s="255"/>
      <c r="J38" s="255"/>
      <c r="K38" s="255"/>
      <c r="M38" s="247" t="s">
        <v>23</v>
      </c>
      <c r="N38" s="247"/>
      <c r="O38" s="247" t="s">
        <v>23</v>
      </c>
      <c r="P38" s="249"/>
      <c r="Q38" s="248" t="s">
        <v>23</v>
      </c>
      <c r="R38" s="248"/>
      <c r="S38" s="248"/>
      <c r="T38" s="248" t="s">
        <v>23</v>
      </c>
    </row>
    <row r="39" spans="1:20" s="250" customFormat="1" ht="15" customHeight="1">
      <c r="A39" s="249"/>
      <c r="B39" s="249"/>
      <c r="C39" s="249" t="s">
        <v>1196</v>
      </c>
      <c r="D39" s="255"/>
      <c r="E39" s="255"/>
      <c r="F39" s="255"/>
      <c r="G39" s="255"/>
      <c r="H39" s="255"/>
      <c r="I39" s="255"/>
      <c r="J39" s="255"/>
      <c r="K39" s="255"/>
      <c r="M39" s="247">
        <v>5642</v>
      </c>
      <c r="N39" s="247"/>
      <c r="O39" s="247">
        <v>5642</v>
      </c>
      <c r="P39" s="249"/>
      <c r="Q39" s="248">
        <v>6752</v>
      </c>
      <c r="R39" s="248"/>
      <c r="S39" s="248"/>
      <c r="T39" s="248">
        <v>6752</v>
      </c>
    </row>
    <row r="40" spans="1:20" s="250" customFormat="1" ht="15" customHeight="1">
      <c r="A40" s="249"/>
      <c r="C40" s="249" t="s">
        <v>1197</v>
      </c>
      <c r="D40" s="255"/>
      <c r="E40" s="255"/>
      <c r="F40" s="255"/>
      <c r="G40" s="255"/>
      <c r="H40" s="255"/>
      <c r="I40" s="255"/>
      <c r="J40" s="255"/>
      <c r="K40" s="255"/>
      <c r="M40" s="310">
        <f>13401-5642</f>
        <v>7759</v>
      </c>
      <c r="N40" s="247"/>
      <c r="O40" s="310">
        <f>12900-5642</f>
        <v>7258</v>
      </c>
      <c r="P40" s="249"/>
      <c r="Q40" s="254">
        <f>19865-Q39</f>
        <v>13113</v>
      </c>
      <c r="R40" s="254"/>
      <c r="S40" s="254"/>
      <c r="T40" s="254">
        <f>18762-T39</f>
        <v>12010</v>
      </c>
    </row>
    <row r="41" spans="1:20" s="250" customFormat="1" ht="15" customHeight="1">
      <c r="A41" s="249"/>
      <c r="C41" s="249" t="s">
        <v>1198</v>
      </c>
      <c r="D41" s="255"/>
      <c r="E41" s="255"/>
      <c r="F41" s="255"/>
      <c r="G41" s="255"/>
      <c r="H41" s="255"/>
      <c r="I41" s="255"/>
      <c r="J41" s="255"/>
      <c r="K41" s="255"/>
      <c r="L41" s="255"/>
      <c r="M41" s="310">
        <f>11675+1147</f>
        <v>12822</v>
      </c>
      <c r="N41" s="318"/>
      <c r="O41" s="310">
        <f>11305+1147</f>
        <v>12452</v>
      </c>
      <c r="P41" s="255"/>
      <c r="Q41" s="254">
        <f>12350+1109</f>
        <v>13459</v>
      </c>
      <c r="R41" s="254"/>
      <c r="S41" s="254"/>
      <c r="T41" s="254">
        <f>12443+1109</f>
        <v>13552</v>
      </c>
    </row>
    <row r="42" spans="1:20" s="250" customFormat="1" ht="15" customHeight="1" thickBot="1">
      <c r="A42" s="249"/>
      <c r="B42" s="255"/>
      <c r="C42" s="255"/>
      <c r="D42" s="255"/>
      <c r="E42" s="255"/>
      <c r="F42" s="255"/>
      <c r="G42" s="255"/>
      <c r="H42" s="255"/>
      <c r="I42" s="255"/>
      <c r="J42" s="255"/>
      <c r="K42" s="255"/>
      <c r="L42" s="255"/>
      <c r="M42" s="87">
        <f>SUM(M39:M41)</f>
        <v>26223</v>
      </c>
      <c r="N42" s="319"/>
      <c r="O42" s="87">
        <f>SUM(O39:O41)</f>
        <v>25352</v>
      </c>
      <c r="P42" s="252"/>
      <c r="Q42" s="87">
        <f>SUM(Q39:Q41)</f>
        <v>33324</v>
      </c>
      <c r="R42" s="320">
        <f t="shared" ref="R42" si="0">SUM(R40:R41)</f>
        <v>0</v>
      </c>
      <c r="S42" s="320"/>
      <c r="T42" s="87">
        <f>SUM(T39:T41)</f>
        <v>32314</v>
      </c>
    </row>
    <row r="43" spans="1:20" s="250" customFormat="1" ht="15" customHeight="1" thickTop="1">
      <c r="A43" s="249"/>
      <c r="B43" s="255"/>
      <c r="C43" s="255"/>
      <c r="D43" s="255"/>
      <c r="E43" s="255"/>
      <c r="F43" s="255"/>
      <c r="G43" s="255"/>
      <c r="H43" s="255"/>
      <c r="I43" s="255"/>
      <c r="J43" s="255"/>
      <c r="K43" s="255"/>
      <c r="L43" s="255"/>
      <c r="M43" s="310"/>
      <c r="N43" s="319"/>
      <c r="O43" s="310"/>
      <c r="P43" s="252"/>
      <c r="Q43" s="254"/>
      <c r="R43" s="320"/>
      <c r="S43" s="320"/>
      <c r="T43" s="254"/>
    </row>
    <row r="44" spans="1:20" s="250" customFormat="1" ht="15" customHeight="1">
      <c r="A44" s="249"/>
      <c r="B44" s="824" t="s">
        <v>1214</v>
      </c>
      <c r="C44" s="824"/>
      <c r="D44" s="824"/>
      <c r="E44" s="824"/>
      <c r="F44" s="824"/>
      <c r="G44" s="824"/>
      <c r="H44" s="824"/>
      <c r="I44" s="824"/>
      <c r="J44" s="824"/>
      <c r="K44" s="824"/>
      <c r="L44" s="824"/>
      <c r="M44" s="824"/>
      <c r="N44" s="824"/>
      <c r="O44" s="824"/>
      <c r="P44" s="824"/>
      <c r="Q44" s="824"/>
      <c r="R44" s="824"/>
      <c r="S44" s="824"/>
      <c r="T44" s="824"/>
    </row>
    <row r="45" spans="1:20" s="250" customFormat="1" ht="23.25" customHeight="1">
      <c r="A45" s="249"/>
      <c r="B45" s="824"/>
      <c r="C45" s="824"/>
      <c r="D45" s="824"/>
      <c r="E45" s="824"/>
      <c r="F45" s="824"/>
      <c r="G45" s="824"/>
      <c r="H45" s="824"/>
      <c r="I45" s="824"/>
      <c r="J45" s="824"/>
      <c r="K45" s="824"/>
      <c r="L45" s="824"/>
      <c r="M45" s="824"/>
      <c r="N45" s="824"/>
      <c r="O45" s="824"/>
      <c r="P45" s="824"/>
      <c r="Q45" s="824"/>
      <c r="R45" s="824"/>
      <c r="S45" s="824"/>
      <c r="T45" s="824"/>
    </row>
    <row r="46" spans="1:20" s="250" customFormat="1" ht="12" customHeight="1">
      <c r="A46" s="249"/>
      <c r="B46" s="255"/>
      <c r="C46" s="255"/>
      <c r="D46" s="255"/>
      <c r="E46" s="255"/>
      <c r="F46" s="255"/>
      <c r="G46" s="255"/>
      <c r="H46" s="255"/>
      <c r="I46" s="255"/>
      <c r="J46" s="255"/>
      <c r="K46" s="255"/>
      <c r="L46" s="255"/>
      <c r="M46" s="255"/>
      <c r="N46" s="255"/>
      <c r="O46" s="255"/>
      <c r="P46" s="255"/>
      <c r="Q46" s="255"/>
      <c r="R46" s="255"/>
      <c r="S46" s="255"/>
      <c r="T46" s="255"/>
    </row>
    <row r="47" spans="1:20" s="250" customFormat="1" ht="1.5" customHeight="1">
      <c r="A47" s="249"/>
      <c r="B47" s="255"/>
      <c r="C47" s="255"/>
      <c r="D47" s="255"/>
      <c r="E47" s="255"/>
      <c r="F47" s="255"/>
      <c r="G47" s="255"/>
      <c r="H47" s="255"/>
      <c r="I47" s="255"/>
      <c r="J47" s="255"/>
      <c r="K47" s="255"/>
      <c r="L47" s="255"/>
      <c r="M47" s="255"/>
      <c r="N47" s="255"/>
      <c r="O47" s="255"/>
      <c r="P47" s="255"/>
      <c r="Q47" s="255"/>
      <c r="R47" s="255"/>
      <c r="S47" s="255"/>
      <c r="T47" s="255"/>
    </row>
    <row r="48" spans="1:20" s="250" customFormat="1" ht="36" customHeight="1">
      <c r="A48" s="249"/>
      <c r="B48" s="824" t="s">
        <v>506</v>
      </c>
      <c r="C48" s="824"/>
      <c r="D48" s="824"/>
      <c r="E48" s="824"/>
      <c r="F48" s="824"/>
      <c r="G48" s="824"/>
      <c r="H48" s="824"/>
      <c r="I48" s="824"/>
      <c r="J48" s="824"/>
      <c r="K48" s="824"/>
      <c r="L48" s="824"/>
      <c r="M48" s="824"/>
      <c r="N48" s="824"/>
      <c r="O48" s="824"/>
      <c r="P48" s="824"/>
      <c r="Q48" s="824"/>
      <c r="R48" s="824"/>
      <c r="S48" s="824"/>
      <c r="T48" s="824"/>
    </row>
    <row r="49" spans="1:20" s="250" customFormat="1" ht="15" customHeight="1">
      <c r="A49" s="249"/>
      <c r="I49" s="253"/>
      <c r="J49" s="253"/>
      <c r="K49" s="253"/>
      <c r="L49" s="321"/>
      <c r="M49" s="316"/>
      <c r="N49" s="246"/>
      <c r="O49" s="316"/>
      <c r="Q49" s="317"/>
      <c r="R49" s="245"/>
      <c r="S49" s="245"/>
      <c r="T49" s="317"/>
    </row>
    <row r="50" spans="1:20" s="250" customFormat="1" ht="15" customHeight="1">
      <c r="A50" s="240">
        <v>22</v>
      </c>
      <c r="B50" s="241" t="s">
        <v>507</v>
      </c>
      <c r="L50" s="249"/>
      <c r="M50" s="246"/>
      <c r="N50" s="246"/>
      <c r="O50" s="246"/>
      <c r="P50" s="249"/>
      <c r="Q50" s="245"/>
      <c r="R50" s="245"/>
      <c r="S50" s="245"/>
      <c r="T50" s="245"/>
    </row>
    <row r="51" spans="1:20" s="250" customFormat="1" ht="15" customHeight="1">
      <c r="A51" s="240"/>
      <c r="B51" s="241"/>
      <c r="M51" s="310" t="str">
        <f>CSCI!F6</f>
        <v>Consolidated</v>
      </c>
      <c r="N51" s="310"/>
      <c r="O51" s="310"/>
      <c r="P51" s="240"/>
      <c r="Q51" s="254" t="s">
        <v>19</v>
      </c>
      <c r="R51" s="254"/>
      <c r="S51" s="254"/>
      <c r="T51" s="254"/>
    </row>
    <row r="52" spans="1:20" s="250" customFormat="1" ht="15" customHeight="1">
      <c r="A52" s="240"/>
      <c r="B52" s="241"/>
      <c r="M52" s="247" t="s">
        <v>21</v>
      </c>
      <c r="N52" s="247"/>
      <c r="O52" s="247" t="s">
        <v>22</v>
      </c>
      <c r="P52" s="249"/>
      <c r="Q52" s="248" t="s">
        <v>21</v>
      </c>
      <c r="R52" s="248"/>
      <c r="S52" s="248"/>
      <c r="T52" s="248" t="s">
        <v>22</v>
      </c>
    </row>
    <row r="53" spans="1:20" s="250" customFormat="1" ht="15" customHeight="1">
      <c r="A53" s="240"/>
      <c r="B53" s="241"/>
      <c r="M53" s="247" t="s">
        <v>23</v>
      </c>
      <c r="N53" s="247"/>
      <c r="O53" s="247" t="s">
        <v>23</v>
      </c>
      <c r="P53" s="249"/>
      <c r="Q53" s="248" t="s">
        <v>23</v>
      </c>
      <c r="R53" s="248"/>
      <c r="S53" s="248"/>
      <c r="T53" s="248" t="s">
        <v>23</v>
      </c>
    </row>
    <row r="54" spans="1:20" s="250" customFormat="1" ht="15" customHeight="1">
      <c r="A54" s="240"/>
      <c r="B54" s="241"/>
      <c r="L54" s="249"/>
      <c r="M54" s="246"/>
      <c r="N54" s="246"/>
      <c r="O54" s="246"/>
      <c r="P54" s="249"/>
      <c r="Q54" s="245"/>
      <c r="R54" s="245"/>
      <c r="S54" s="245"/>
      <c r="T54" s="245"/>
    </row>
    <row r="55" spans="1:20" s="250" customFormat="1" ht="15" customHeight="1">
      <c r="A55" s="249"/>
      <c r="B55" s="250" t="s">
        <v>508</v>
      </c>
      <c r="F55" s="249"/>
      <c r="M55" s="310">
        <v>142</v>
      </c>
      <c r="N55" s="241"/>
      <c r="O55" s="310">
        <v>0</v>
      </c>
      <c r="Q55" s="254">
        <v>96</v>
      </c>
      <c r="R55" s="248"/>
      <c r="S55" s="245"/>
      <c r="T55" s="254">
        <v>0</v>
      </c>
    </row>
    <row r="56" spans="1:20" s="250" customFormat="1" ht="15" customHeight="1">
      <c r="A56" s="249"/>
      <c r="B56" s="250" t="s">
        <v>509</v>
      </c>
      <c r="M56" s="310">
        <v>0</v>
      </c>
      <c r="N56" s="241"/>
      <c r="O56" s="310">
        <v>0</v>
      </c>
      <c r="P56" s="249"/>
      <c r="Q56" s="254">
        <v>2058</v>
      </c>
      <c r="R56" s="248"/>
      <c r="S56" s="245"/>
      <c r="T56" s="254">
        <v>2058</v>
      </c>
    </row>
    <row r="57" spans="1:20" s="250" customFormat="1" ht="15" customHeight="1">
      <c r="A57" s="249"/>
      <c r="B57" s="250" t="s">
        <v>510</v>
      </c>
      <c r="M57" s="310">
        <v>683</v>
      </c>
      <c r="N57" s="241"/>
      <c r="O57" s="310">
        <v>541</v>
      </c>
      <c r="P57" s="249"/>
      <c r="Q57" s="254">
        <v>12</v>
      </c>
      <c r="R57" s="248"/>
      <c r="S57" s="245"/>
      <c r="T57" s="254">
        <v>12</v>
      </c>
    </row>
    <row r="58" spans="1:20" s="250" customFormat="1" ht="15" customHeight="1">
      <c r="A58" s="249"/>
      <c r="B58" s="250" t="s">
        <v>511</v>
      </c>
      <c r="M58" s="310">
        <v>0</v>
      </c>
      <c r="N58" s="241"/>
      <c r="O58" s="310">
        <v>0</v>
      </c>
      <c r="P58" s="249"/>
      <c r="Q58" s="254">
        <v>14</v>
      </c>
      <c r="R58" s="248"/>
      <c r="S58" s="245"/>
      <c r="T58" s="254">
        <v>0</v>
      </c>
    </row>
    <row r="59" spans="1:20" s="250" customFormat="1" ht="15" customHeight="1">
      <c r="A59" s="249"/>
      <c r="B59" s="250" t="s">
        <v>512</v>
      </c>
      <c r="M59" s="310">
        <v>1134</v>
      </c>
      <c r="N59" s="241"/>
      <c r="O59" s="310">
        <v>1134</v>
      </c>
      <c r="P59" s="249"/>
      <c r="Q59" s="254">
        <v>1134</v>
      </c>
      <c r="R59" s="248"/>
      <c r="S59" s="245"/>
      <c r="T59" s="254">
        <v>1134</v>
      </c>
    </row>
    <row r="60" spans="1:20" s="250" customFormat="1" ht="15" customHeight="1">
      <c r="A60" s="249"/>
      <c r="B60" s="250" t="s">
        <v>513</v>
      </c>
      <c r="M60" s="310">
        <f>20223</f>
        <v>20223</v>
      </c>
      <c r="N60" s="241"/>
      <c r="O60" s="310">
        <f>14396</f>
        <v>14396</v>
      </c>
      <c r="Q60" s="254">
        <f>16634</f>
        <v>16634</v>
      </c>
      <c r="R60" s="248"/>
      <c r="S60" s="245"/>
      <c r="T60" s="254">
        <f>13976</f>
        <v>13976</v>
      </c>
    </row>
    <row r="61" spans="1:20" s="250" customFormat="1" ht="15" customHeight="1">
      <c r="A61" s="249"/>
      <c r="B61" s="250" t="s">
        <v>514</v>
      </c>
      <c r="I61" s="249"/>
      <c r="J61" s="249"/>
      <c r="K61" s="249"/>
      <c r="M61" s="310">
        <v>2531</v>
      </c>
      <c r="N61" s="241"/>
      <c r="O61" s="310">
        <v>2421</v>
      </c>
      <c r="Q61" s="254">
        <f>2302</f>
        <v>2302</v>
      </c>
      <c r="R61" s="248"/>
      <c r="S61" s="245"/>
      <c r="T61" s="254">
        <f>2254</f>
        <v>2254</v>
      </c>
    </row>
    <row r="62" spans="1:20" s="250" customFormat="1" ht="15" customHeight="1">
      <c r="A62" s="249"/>
      <c r="B62" s="250" t="s">
        <v>515</v>
      </c>
      <c r="M62" s="310">
        <f>26437-387</f>
        <v>26050</v>
      </c>
      <c r="N62" s="310"/>
      <c r="O62" s="310">
        <v>29116</v>
      </c>
      <c r="P62" s="310"/>
      <c r="Q62" s="254">
        <v>22811</v>
      </c>
      <c r="R62" s="254">
        <v>3766</v>
      </c>
      <c r="S62" s="254"/>
      <c r="T62" s="254">
        <v>23326</v>
      </c>
    </row>
    <row r="63" spans="1:20" s="250" customFormat="1" ht="15" customHeight="1">
      <c r="A63" s="249"/>
      <c r="B63" s="250" t="s">
        <v>294</v>
      </c>
      <c r="M63" s="310">
        <v>1523</v>
      </c>
      <c r="N63" s="241"/>
      <c r="O63" s="310">
        <v>1523</v>
      </c>
      <c r="Q63" s="254">
        <v>1450</v>
      </c>
      <c r="R63" s="248"/>
      <c r="S63" s="245"/>
      <c r="T63" s="254">
        <v>1450</v>
      </c>
    </row>
    <row r="64" spans="1:20" s="250" customFormat="1" ht="15" customHeight="1" thickBot="1">
      <c r="A64" s="249"/>
      <c r="M64" s="87">
        <f>SUM(M55:M63)</f>
        <v>52286</v>
      </c>
      <c r="N64" s="247"/>
      <c r="O64" s="87">
        <f>SUM(O55:O63)</f>
        <v>49131</v>
      </c>
      <c r="Q64" s="88">
        <f>SUM(Q55:Q63)</f>
        <v>46511</v>
      </c>
      <c r="R64" s="248"/>
      <c r="S64" s="248"/>
      <c r="T64" s="88">
        <f>SUM(T55:T63)</f>
        <v>44210</v>
      </c>
    </row>
    <row r="65" spans="1:23" s="250" customFormat="1" ht="15" customHeight="1" thickTop="1">
      <c r="A65" s="249"/>
      <c r="H65" s="250" t="s">
        <v>362</v>
      </c>
      <c r="L65" s="250" t="s">
        <v>362</v>
      </c>
      <c r="M65" s="322"/>
      <c r="N65" s="247" t="s">
        <v>362</v>
      </c>
      <c r="O65" s="322"/>
      <c r="P65" s="323"/>
      <c r="Q65" s="324"/>
      <c r="R65" s="248" t="s">
        <v>362</v>
      </c>
      <c r="S65" s="248" t="s">
        <v>362</v>
      </c>
      <c r="T65" s="324"/>
    </row>
    <row r="66" spans="1:23" s="250" customFormat="1" ht="15" customHeight="1">
      <c r="A66" s="249"/>
      <c r="B66" s="233" t="s">
        <v>516</v>
      </c>
      <c r="C66" s="234"/>
      <c r="D66" s="234"/>
      <c r="E66" s="234"/>
      <c r="F66" s="234"/>
      <c r="G66" s="234"/>
      <c r="H66" s="234"/>
      <c r="I66" s="234"/>
      <c r="J66" s="234"/>
      <c r="K66" s="234"/>
      <c r="L66" s="234"/>
      <c r="M66" s="371"/>
      <c r="N66" s="372"/>
      <c r="O66" s="373"/>
      <c r="P66" s="374"/>
      <c r="Q66" s="373"/>
      <c r="R66" s="375"/>
      <c r="S66" s="375"/>
      <c r="T66" s="236"/>
    </row>
    <row r="67" spans="1:23" s="250" customFormat="1" ht="15" customHeight="1">
      <c r="A67" s="249"/>
      <c r="B67" s="241"/>
      <c r="C67" s="241"/>
      <c r="D67" s="241"/>
      <c r="E67" s="241"/>
      <c r="F67" s="241"/>
      <c r="G67" s="241"/>
      <c r="H67" s="241"/>
      <c r="I67" s="241"/>
      <c r="J67" s="241"/>
      <c r="K67" s="241"/>
      <c r="L67" s="241"/>
      <c r="M67" s="310"/>
      <c r="N67" s="313"/>
      <c r="O67" s="314"/>
      <c r="P67" s="315"/>
      <c r="Q67" s="314"/>
      <c r="R67" s="324"/>
      <c r="S67" s="324"/>
      <c r="T67" s="248"/>
    </row>
    <row r="68" spans="1:23" ht="15" customHeight="1">
      <c r="A68" s="359"/>
      <c r="B68" s="258" t="s">
        <v>517</v>
      </c>
      <c r="C68" s="258"/>
      <c r="D68" s="258"/>
      <c r="L68" s="256"/>
      <c r="M68" s="305"/>
      <c r="N68" s="305"/>
      <c r="O68" s="305"/>
      <c r="P68" s="256"/>
      <c r="Q68" s="325"/>
      <c r="R68" s="325"/>
      <c r="S68" s="325"/>
      <c r="T68" s="325"/>
    </row>
    <row r="69" spans="1:23" ht="15" customHeight="1">
      <c r="U69" s="326"/>
      <c r="V69" s="326"/>
      <c r="W69" s="326"/>
    </row>
    <row r="70" spans="1:23" ht="15" customHeight="1">
      <c r="B70" s="244" t="s">
        <v>518</v>
      </c>
      <c r="U70" s="326"/>
      <c r="V70" s="326"/>
      <c r="W70" s="326"/>
    </row>
    <row r="71" spans="1:23" ht="15" customHeight="1">
      <c r="B71" s="244" t="s">
        <v>519</v>
      </c>
      <c r="U71" s="326"/>
      <c r="V71" s="326"/>
      <c r="W71" s="326"/>
    </row>
    <row r="72" spans="1:23" ht="15" customHeight="1">
      <c r="M72" s="310" t="s">
        <v>18</v>
      </c>
      <c r="N72" s="310"/>
      <c r="O72" s="310"/>
      <c r="P72" s="240"/>
      <c r="Q72" s="254" t="s">
        <v>19</v>
      </c>
      <c r="R72" s="254"/>
      <c r="S72" s="254"/>
      <c r="T72" s="254"/>
      <c r="U72" s="326"/>
      <c r="V72" s="326"/>
      <c r="W72" s="326"/>
    </row>
    <row r="73" spans="1:23" ht="15" customHeight="1">
      <c r="M73" s="247" t="s">
        <v>21</v>
      </c>
      <c r="N73" s="247"/>
      <c r="O73" s="247" t="s">
        <v>22</v>
      </c>
      <c r="P73" s="249"/>
      <c r="Q73" s="248" t="s">
        <v>21</v>
      </c>
      <c r="R73" s="248"/>
      <c r="S73" s="248"/>
      <c r="T73" s="248" t="s">
        <v>22</v>
      </c>
      <c r="U73" s="326"/>
      <c r="V73" s="326"/>
      <c r="W73" s="326"/>
    </row>
    <row r="74" spans="1:23" ht="15" customHeight="1">
      <c r="M74" s="247" t="s">
        <v>23</v>
      </c>
      <c r="N74" s="247"/>
      <c r="O74" s="247" t="s">
        <v>23</v>
      </c>
      <c r="P74" s="249"/>
      <c r="Q74" s="248" t="s">
        <v>23</v>
      </c>
      <c r="R74" s="248"/>
      <c r="S74" s="248"/>
      <c r="T74" s="248" t="s">
        <v>23</v>
      </c>
      <c r="U74" s="326"/>
      <c r="V74" s="326"/>
      <c r="W74" s="326"/>
    </row>
    <row r="75" spans="1:23" ht="15" customHeight="1">
      <c r="U75" s="326"/>
      <c r="V75" s="326"/>
      <c r="W75" s="326"/>
    </row>
    <row r="76" spans="1:23" ht="15" customHeight="1">
      <c r="B76" s="244" t="s">
        <v>520</v>
      </c>
      <c r="M76" s="353">
        <v>0</v>
      </c>
      <c r="O76" s="258">
        <v>0</v>
      </c>
      <c r="Q76" s="244">
        <v>0</v>
      </c>
      <c r="T76" s="244">
        <v>0</v>
      </c>
      <c r="U76" s="326"/>
      <c r="V76" s="326"/>
      <c r="W76" s="326"/>
    </row>
    <row r="77" spans="1:23" ht="15" customHeight="1">
      <c r="B77" s="244" t="s">
        <v>521</v>
      </c>
      <c r="M77" s="353">
        <f>22641-3500</f>
        <v>19141</v>
      </c>
      <c r="O77" s="353">
        <f>21798-3500</f>
        <v>18298</v>
      </c>
      <c r="Q77" s="362">
        <v>19032</v>
      </c>
      <c r="T77" s="362">
        <v>18756</v>
      </c>
      <c r="U77" s="326"/>
      <c r="V77" s="326"/>
      <c r="W77" s="326"/>
    </row>
    <row r="78" spans="1:23" ht="15" customHeight="1">
      <c r="B78" s="244" t="s">
        <v>522</v>
      </c>
      <c r="M78" s="353">
        <f>1000+3500</f>
        <v>4500</v>
      </c>
      <c r="O78" s="258">
        <f>1000+3500</f>
        <v>4500</v>
      </c>
      <c r="Q78" s="244">
        <v>750</v>
      </c>
      <c r="T78" s="244">
        <v>750</v>
      </c>
      <c r="U78" s="326"/>
      <c r="V78" s="326"/>
      <c r="W78" s="326"/>
    </row>
    <row r="79" spans="1:23" ht="15" customHeight="1">
      <c r="A79" s="304"/>
      <c r="B79" s="244" t="s">
        <v>15</v>
      </c>
      <c r="M79" s="353">
        <v>0</v>
      </c>
      <c r="O79" s="258">
        <v>0</v>
      </c>
      <c r="Q79" s="244">
        <v>0</v>
      </c>
      <c r="T79" s="244">
        <v>0</v>
      </c>
      <c r="U79" s="326"/>
      <c r="V79" s="326"/>
      <c r="W79" s="326"/>
    </row>
    <row r="80" spans="1:23" ht="15" customHeight="1" thickBot="1">
      <c r="A80" s="304"/>
      <c r="M80" s="361">
        <f>SUM(M76:M79)</f>
        <v>23641</v>
      </c>
      <c r="O80" s="361">
        <f>SUM(O76:O79)</f>
        <v>22798</v>
      </c>
      <c r="Q80" s="361">
        <f>SUM(Q76:Q79)</f>
        <v>19782</v>
      </c>
      <c r="T80" s="361">
        <f>SUM(T76:T79)</f>
        <v>19506</v>
      </c>
      <c r="U80" s="326"/>
      <c r="V80" s="326"/>
      <c r="W80" s="326"/>
    </row>
    <row r="81" spans="1:23" ht="15" customHeight="1" thickTop="1">
      <c r="A81" s="304"/>
      <c r="U81" s="326"/>
      <c r="V81" s="326"/>
      <c r="W81" s="326"/>
    </row>
    <row r="82" spans="1:23" ht="15" customHeight="1">
      <c r="U82" s="326"/>
      <c r="V82" s="326"/>
      <c r="W82" s="326"/>
    </row>
    <row r="83" spans="1:23" ht="15" customHeight="1">
      <c r="U83" s="326"/>
      <c r="V83" s="326"/>
      <c r="W83" s="326"/>
    </row>
    <row r="84" spans="1:23" ht="15" customHeight="1">
      <c r="U84" s="326"/>
      <c r="V84" s="326"/>
      <c r="W84" s="326"/>
    </row>
    <row r="85" spans="1:23" ht="15" customHeight="1">
      <c r="U85" s="326"/>
      <c r="V85" s="326"/>
      <c r="W85" s="326"/>
    </row>
    <row r="86" spans="1:23" ht="15" customHeight="1">
      <c r="U86" s="326"/>
      <c r="V86" s="326"/>
      <c r="W86" s="326"/>
    </row>
    <row r="87" spans="1:23" ht="15" customHeight="1">
      <c r="U87" s="326"/>
      <c r="V87" s="326"/>
      <c r="W87" s="326"/>
    </row>
    <row r="88" spans="1:23" ht="15" customHeight="1">
      <c r="U88" s="326"/>
      <c r="V88" s="326"/>
      <c r="W88" s="326"/>
    </row>
    <row r="89" spans="1:23" ht="15" customHeight="1">
      <c r="U89" s="326"/>
      <c r="V89" s="326"/>
      <c r="W89" s="326"/>
    </row>
    <row r="90" spans="1:23" ht="15" customHeight="1">
      <c r="U90" s="326"/>
      <c r="V90" s="326"/>
      <c r="W90" s="326"/>
    </row>
    <row r="91" spans="1:23" ht="15" customHeight="1">
      <c r="U91" s="326"/>
      <c r="V91" s="326"/>
      <c r="W91" s="326"/>
    </row>
    <row r="92" spans="1:23" ht="15" customHeight="1">
      <c r="U92" s="326"/>
      <c r="V92" s="326"/>
      <c r="W92" s="326"/>
    </row>
    <row r="93" spans="1:23" ht="15" customHeight="1">
      <c r="U93" s="326"/>
      <c r="V93" s="326"/>
      <c r="W93" s="326"/>
    </row>
    <row r="94" spans="1:23" ht="15" customHeight="1"/>
    <row r="95" spans="1:23" ht="15" customHeight="1"/>
    <row r="96" spans="1:23" ht="15" customHeight="1"/>
    <row r="97" ht="15" customHeight="1"/>
    <row r="98" ht="15" customHeight="1"/>
    <row r="99" ht="15" customHeight="1"/>
  </sheetData>
  <mergeCells count="7">
    <mergeCell ref="B48:T48"/>
    <mergeCell ref="M6:O6"/>
    <mergeCell ref="Q6:T6"/>
    <mergeCell ref="M18:O18"/>
    <mergeCell ref="M36:O36"/>
    <mergeCell ref="Q36:T36"/>
    <mergeCell ref="B44:T45"/>
  </mergeCells>
  <pageMargins left="0.70866141732283472" right="0.70866141732283472" top="0.74803149606299213" bottom="0.74803149606299213" header="0.31496062992125984" footer="0.31496062992125984"/>
  <pageSetup paperSize="9" scale="59" orientation="portrait" r:id="rId1"/>
  <headerFooter>
    <oddFooter>&amp;C&amp;P of &amp;N</oddFooter>
  </headerFooter>
  <rowBreaks count="1" manualBreakCount="1">
    <brk id="49" max="1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2"/>
  <sheetViews>
    <sheetView view="pageBreakPreview" topLeftCell="A46" zoomScaleNormal="100" zoomScaleSheetLayoutView="100" zoomScalePageLayoutView="70" workbookViewId="0">
      <selection activeCell="N76" sqref="N76"/>
    </sheetView>
  </sheetViews>
  <sheetFormatPr defaultColWidth="3.85546875" defaultRowHeight="12.75"/>
  <cols>
    <col min="1" max="8" width="3.85546875" style="265" customWidth="1"/>
    <col min="9" max="9" width="10.7109375" style="265" customWidth="1"/>
    <col min="10" max="10" width="12.7109375" style="265" customWidth="1"/>
    <col min="11" max="11" width="2.7109375" style="265" customWidth="1"/>
    <col min="12" max="12" width="12.7109375" style="265" customWidth="1"/>
    <col min="13" max="13" width="3" style="265" customWidth="1"/>
    <col min="14" max="14" width="15.140625" style="265" customWidth="1"/>
    <col min="15" max="15" width="2.7109375" style="265" customWidth="1"/>
    <col min="16" max="16" width="12.7109375" style="265" customWidth="1"/>
    <col min="17" max="17" width="2.7109375" style="265" customWidth="1"/>
    <col min="18" max="18" width="12.7109375" style="265" customWidth="1"/>
    <col min="19" max="19" width="2.7109375" style="265" customWidth="1"/>
    <col min="20" max="20" width="12.7109375" style="265" customWidth="1"/>
    <col min="21" max="21" width="3.85546875" style="265"/>
    <col min="22" max="22" width="8.7109375" style="265" customWidth="1"/>
    <col min="23" max="25" width="3.85546875" style="265"/>
    <col min="26" max="26" width="6.42578125" style="265" bestFit="1" customWidth="1"/>
    <col min="27" max="16384" width="3.85546875" style="265"/>
  </cols>
  <sheetData>
    <row r="1" spans="1:22" s="262" customFormat="1" ht="30" customHeight="1">
      <c r="A1" s="262" t="s">
        <v>298</v>
      </c>
    </row>
    <row r="2" spans="1:22" s="263" customFormat="1" ht="19.5" customHeight="1">
      <c r="A2" s="263" t="s">
        <v>129</v>
      </c>
    </row>
    <row r="3" spans="1:22" ht="15" customHeight="1" thickBot="1">
      <c r="A3" s="287"/>
      <c r="B3" s="287"/>
      <c r="C3" s="327"/>
      <c r="D3" s="327"/>
      <c r="E3" s="327"/>
      <c r="F3" s="327"/>
      <c r="G3" s="287"/>
      <c r="H3" s="287"/>
      <c r="I3" s="287"/>
      <c r="J3" s="287"/>
      <c r="K3" s="287"/>
      <c r="L3" s="287"/>
      <c r="M3" s="287"/>
      <c r="N3" s="287"/>
      <c r="O3" s="287"/>
      <c r="P3" s="287"/>
      <c r="Q3" s="287"/>
      <c r="R3" s="287"/>
      <c r="S3" s="287"/>
      <c r="T3" s="287"/>
      <c r="U3" s="287"/>
      <c r="V3" s="287"/>
    </row>
    <row r="4" spans="1:22" ht="8.25" customHeight="1"/>
    <row r="5" spans="1:22" s="267" customFormat="1" ht="15" customHeight="1">
      <c r="A5" s="270">
        <v>23</v>
      </c>
      <c r="B5" s="272" t="s">
        <v>523</v>
      </c>
      <c r="C5" s="328"/>
      <c r="D5" s="328"/>
      <c r="E5" s="328"/>
      <c r="F5" s="328"/>
      <c r="G5" s="328"/>
      <c r="H5" s="328"/>
      <c r="I5" s="328"/>
      <c r="J5" s="328"/>
      <c r="K5" s="328"/>
      <c r="L5" s="328"/>
      <c r="M5" s="328"/>
      <c r="N5" s="328"/>
      <c r="O5" s="328"/>
      <c r="P5" s="328"/>
      <c r="Q5" s="328"/>
      <c r="R5" s="328"/>
      <c r="S5" s="328"/>
      <c r="T5" s="328"/>
      <c r="U5" s="328"/>
    </row>
    <row r="6" spans="1:22" s="267" customFormat="1" ht="15" customHeight="1">
      <c r="A6" s="270"/>
      <c r="B6" s="272"/>
      <c r="C6" s="328"/>
      <c r="D6" s="328"/>
      <c r="E6" s="328"/>
      <c r="F6" s="328"/>
      <c r="G6" s="328"/>
      <c r="H6" s="328"/>
      <c r="I6" s="328"/>
      <c r="J6" s="328"/>
      <c r="K6" s="328"/>
      <c r="L6" s="364" t="s">
        <v>524</v>
      </c>
      <c r="M6" s="328"/>
      <c r="N6" s="328"/>
      <c r="O6" s="328"/>
      <c r="P6" s="328" t="s">
        <v>525</v>
      </c>
      <c r="Q6" s="328"/>
      <c r="R6" s="328"/>
      <c r="S6" s="328"/>
      <c r="T6" s="328"/>
      <c r="U6" s="328"/>
    </row>
    <row r="7" spans="1:22" s="267" customFormat="1" ht="15" customHeight="1">
      <c r="A7" s="273"/>
      <c r="K7" s="728"/>
      <c r="L7" s="282" t="s">
        <v>21</v>
      </c>
      <c r="M7" s="282"/>
      <c r="N7" s="282" t="s">
        <v>22</v>
      </c>
      <c r="O7" s="282"/>
      <c r="P7" s="284" t="s">
        <v>21</v>
      </c>
      <c r="Q7" s="284"/>
      <c r="R7" s="284" t="s">
        <v>22</v>
      </c>
    </row>
    <row r="8" spans="1:22" s="267" customFormat="1" ht="15" customHeight="1">
      <c r="C8" s="266"/>
      <c r="F8" s="266"/>
      <c r="G8" s="266"/>
      <c r="I8" s="729"/>
      <c r="J8" s="729"/>
      <c r="K8" s="282"/>
      <c r="L8" s="282" t="s">
        <v>23</v>
      </c>
      <c r="M8" s="282"/>
      <c r="N8" s="282" t="s">
        <v>23</v>
      </c>
      <c r="O8" s="282"/>
      <c r="P8" s="284" t="s">
        <v>23</v>
      </c>
      <c r="Q8" s="275"/>
      <c r="R8" s="284" t="s">
        <v>23</v>
      </c>
    </row>
    <row r="9" spans="1:22" s="267" customFormat="1" ht="15" customHeight="1">
      <c r="C9" s="266"/>
      <c r="F9" s="266"/>
      <c r="G9" s="266"/>
      <c r="I9" s="729"/>
      <c r="J9" s="729"/>
      <c r="K9" s="282"/>
      <c r="L9" s="282"/>
      <c r="M9" s="282"/>
      <c r="N9" s="282"/>
      <c r="O9" s="282"/>
      <c r="P9" s="284"/>
      <c r="Q9" s="275"/>
      <c r="R9" s="284"/>
    </row>
    <row r="10" spans="1:22" s="267" customFormat="1" ht="15" customHeight="1">
      <c r="B10" s="267" t="s">
        <v>517</v>
      </c>
      <c r="C10" s="266"/>
      <c r="F10" s="266"/>
      <c r="G10" s="266"/>
      <c r="I10" s="729"/>
      <c r="J10" s="729"/>
      <c r="K10" s="282"/>
      <c r="L10" s="282">
        <v>0</v>
      </c>
      <c r="M10" s="282"/>
      <c r="N10" s="282">
        <v>0</v>
      </c>
      <c r="O10" s="282"/>
      <c r="P10" s="284">
        <v>0</v>
      </c>
      <c r="Q10" s="275"/>
      <c r="R10" s="284">
        <v>0</v>
      </c>
    </row>
    <row r="11" spans="1:22" s="267" customFormat="1" ht="15" customHeight="1">
      <c r="B11" s="267" t="s">
        <v>526</v>
      </c>
      <c r="C11" s="266"/>
      <c r="F11" s="266"/>
      <c r="G11" s="266"/>
      <c r="I11" s="729"/>
      <c r="J11" s="729"/>
      <c r="K11" s="282"/>
      <c r="L11" s="682">
        <f>'Note 14'!F25+'Note 14'!G25</f>
        <v>8670</v>
      </c>
      <c r="M11" s="282"/>
      <c r="N11" s="282">
        <f>L11</f>
        <v>8670</v>
      </c>
      <c r="O11" s="282"/>
      <c r="P11" s="284">
        <v>9780</v>
      </c>
      <c r="Q11" s="275"/>
      <c r="R11" s="284">
        <v>9780</v>
      </c>
    </row>
    <row r="12" spans="1:22" s="267" customFormat="1" ht="15" customHeight="1">
      <c r="A12" s="273"/>
      <c r="B12" s="267" t="s">
        <v>527</v>
      </c>
      <c r="C12" s="266"/>
      <c r="F12" s="266"/>
      <c r="G12" s="266"/>
      <c r="I12" s="729"/>
      <c r="J12" s="729"/>
      <c r="K12" s="285"/>
      <c r="L12" s="282">
        <v>0</v>
      </c>
      <c r="M12" s="282"/>
      <c r="N12" s="282">
        <v>0</v>
      </c>
      <c r="O12" s="282"/>
      <c r="P12" s="284">
        <v>0</v>
      </c>
      <c r="Q12" s="284"/>
      <c r="R12" s="284">
        <v>0</v>
      </c>
    </row>
    <row r="13" spans="1:22" s="267" customFormat="1" ht="15" customHeight="1">
      <c r="A13" s="273"/>
      <c r="B13" s="267" t="s">
        <v>294</v>
      </c>
      <c r="C13" s="266"/>
      <c r="F13" s="266"/>
      <c r="G13" s="266"/>
      <c r="I13" s="729"/>
      <c r="J13" s="729"/>
      <c r="K13" s="285"/>
      <c r="L13" s="282">
        <v>0</v>
      </c>
      <c r="M13" s="282"/>
      <c r="N13" s="282">
        <v>0</v>
      </c>
      <c r="O13" s="282"/>
      <c r="P13" s="284">
        <v>0</v>
      </c>
      <c r="Q13" s="284"/>
      <c r="R13" s="284">
        <v>0</v>
      </c>
    </row>
    <row r="14" spans="1:22" s="267" customFormat="1" ht="15" customHeight="1">
      <c r="A14" s="273"/>
      <c r="B14" s="267" t="s">
        <v>509</v>
      </c>
      <c r="C14" s="266"/>
      <c r="D14" s="266"/>
      <c r="K14" s="283"/>
      <c r="L14" s="266"/>
      <c r="M14" s="266"/>
      <c r="N14" s="266"/>
      <c r="O14" s="266"/>
      <c r="P14" s="267">
        <v>51045</v>
      </c>
      <c r="Q14" s="284" t="s">
        <v>362</v>
      </c>
      <c r="R14" s="267">
        <v>51045</v>
      </c>
    </row>
    <row r="15" spans="1:22" s="266" customFormat="1" ht="15" customHeight="1">
      <c r="A15" s="270"/>
      <c r="B15" s="267" t="s">
        <v>510</v>
      </c>
      <c r="K15" s="285"/>
      <c r="L15" s="683">
        <v>34191</v>
      </c>
      <c r="M15" s="282"/>
      <c r="N15" s="683">
        <v>34191</v>
      </c>
      <c r="O15" s="282"/>
      <c r="P15" s="684">
        <v>0</v>
      </c>
      <c r="Q15" s="282"/>
      <c r="R15" s="684">
        <v>0</v>
      </c>
    </row>
    <row r="16" spans="1:22" s="267" customFormat="1" ht="15" customHeight="1">
      <c r="A16" s="273"/>
      <c r="K16" s="285"/>
      <c r="L16" s="739"/>
      <c r="M16" s="282"/>
      <c r="N16" s="739"/>
      <c r="O16" s="282"/>
      <c r="P16" s="740"/>
      <c r="Q16" s="284" t="s">
        <v>362</v>
      </c>
      <c r="R16" s="740"/>
      <c r="U16" s="267" t="s">
        <v>362</v>
      </c>
    </row>
    <row r="17" spans="1:39" s="267" customFormat="1" ht="15" customHeight="1">
      <c r="A17" s="273"/>
      <c r="K17" s="282"/>
      <c r="L17" s="277">
        <f>SUM(L11:L16)</f>
        <v>42861</v>
      </c>
      <c r="M17" s="277"/>
      <c r="N17" s="277">
        <f>SUM(N11:N16)</f>
        <v>42861</v>
      </c>
      <c r="O17" s="277"/>
      <c r="P17" s="277">
        <f>SUM(P11:P16)</f>
        <v>60825</v>
      </c>
      <c r="Q17" s="277"/>
      <c r="R17" s="277">
        <f>SUM(R11:R16)</f>
        <v>60825</v>
      </c>
    </row>
    <row r="18" spans="1:39" s="267" customFormat="1" ht="15" customHeight="1">
      <c r="A18" s="273"/>
      <c r="K18" s="282"/>
      <c r="L18" s="277"/>
      <c r="M18" s="277"/>
      <c r="N18" s="277"/>
      <c r="O18" s="277"/>
      <c r="P18" s="277"/>
      <c r="Q18" s="277"/>
      <c r="R18" s="277"/>
    </row>
    <row r="19" spans="1:39" s="267" customFormat="1" ht="15" customHeight="1">
      <c r="A19" s="273"/>
      <c r="B19" s="267" t="s">
        <v>528</v>
      </c>
      <c r="C19" s="266"/>
      <c r="D19" s="266"/>
      <c r="K19" s="283"/>
      <c r="L19" s="266"/>
      <c r="M19" s="266"/>
      <c r="N19" s="266"/>
      <c r="O19" s="266"/>
      <c r="Q19" s="284" t="s">
        <v>362</v>
      </c>
    </row>
    <row r="20" spans="1:39" s="266" customFormat="1" ht="15" customHeight="1">
      <c r="A20" s="270"/>
      <c r="B20" s="741" t="s">
        <v>1015</v>
      </c>
      <c r="K20" s="285"/>
      <c r="L20" s="683">
        <f>+'Note 19 - 22'!M55+'Note 19 - 22'!M57</f>
        <v>825</v>
      </c>
      <c r="M20" s="282"/>
      <c r="N20" s="683">
        <f>+'Note 19 - 22'!O55+'Note 19 - 22'!O57</f>
        <v>541</v>
      </c>
      <c r="O20" s="282"/>
      <c r="P20" s="683">
        <f>+'Note 19 - 22'!Q55+'Note 19 - 22'!Q57+'Note 19 - 22'!Q56</f>
        <v>2166</v>
      </c>
      <c r="Q20" s="282"/>
      <c r="R20" s="683">
        <f>+'Note 19 - 22'!T56+'Note 19 - 22'!T55+'Note 19 - 22'!T57</f>
        <v>2070</v>
      </c>
    </row>
    <row r="21" spans="1:39" s="267" customFormat="1" ht="15" customHeight="1">
      <c r="A21" s="273"/>
      <c r="B21" s="274" t="s">
        <v>529</v>
      </c>
      <c r="K21" s="282"/>
      <c r="L21" s="277">
        <f>+N21</f>
        <v>564</v>
      </c>
      <c r="M21" s="277"/>
      <c r="N21" s="277">
        <v>564</v>
      </c>
      <c r="O21" s="266"/>
      <c r="P21" s="275">
        <v>2163</v>
      </c>
      <c r="Q21" s="284"/>
      <c r="R21" s="275">
        <v>2163</v>
      </c>
    </row>
    <row r="22" spans="1:39" s="267" customFormat="1" ht="15" customHeight="1">
      <c r="A22" s="273"/>
      <c r="B22" s="274" t="s">
        <v>530</v>
      </c>
      <c r="K22" s="282"/>
      <c r="L22" s="277">
        <f>+N22</f>
        <v>1867</v>
      </c>
      <c r="M22" s="277"/>
      <c r="N22" s="277">
        <v>1867</v>
      </c>
      <c r="O22" s="266"/>
      <c r="P22" s="275">
        <v>7143</v>
      </c>
      <c r="Q22" s="284"/>
      <c r="R22" s="275">
        <v>7143</v>
      </c>
    </row>
    <row r="23" spans="1:39" s="267" customFormat="1" ht="15" customHeight="1">
      <c r="A23" s="273"/>
      <c r="B23" s="274" t="s">
        <v>531</v>
      </c>
      <c r="K23" s="282"/>
      <c r="L23" s="277">
        <f>+N23</f>
        <v>31760</v>
      </c>
      <c r="M23" s="277"/>
      <c r="N23" s="277">
        <v>31760</v>
      </c>
      <c r="O23" s="266"/>
      <c r="P23" s="275">
        <v>41739</v>
      </c>
      <c r="Q23" s="284"/>
      <c r="R23" s="275">
        <v>41739</v>
      </c>
    </row>
    <row r="24" spans="1:39" s="266" customFormat="1" ht="15" customHeight="1">
      <c r="A24" s="270"/>
      <c r="B24" s="741" t="s">
        <v>532</v>
      </c>
      <c r="K24" s="282"/>
      <c r="L24" s="742">
        <f>SUM(L21:L23)</f>
        <v>34191</v>
      </c>
      <c r="M24" s="742"/>
      <c r="N24" s="742">
        <f>SUM(N21:N23)</f>
        <v>34191</v>
      </c>
      <c r="O24" s="742"/>
      <c r="P24" s="742">
        <f>SUM(P21:P23)</f>
        <v>51045</v>
      </c>
      <c r="Q24" s="742"/>
      <c r="R24" s="742">
        <f>SUM(R21:R23)</f>
        <v>51045</v>
      </c>
    </row>
    <row r="25" spans="1:39" s="266" customFormat="1" ht="15" customHeight="1" thickBot="1">
      <c r="A25" s="270"/>
      <c r="B25" s="741" t="s">
        <v>1016</v>
      </c>
      <c r="K25" s="282"/>
      <c r="L25" s="743">
        <f>L20+L24</f>
        <v>35016</v>
      </c>
      <c r="M25" s="277"/>
      <c r="N25" s="743">
        <f>N20+N24</f>
        <v>34732</v>
      </c>
      <c r="O25" s="277"/>
      <c r="P25" s="743">
        <f>P20+P24</f>
        <v>53211</v>
      </c>
      <c r="Q25" s="277"/>
      <c r="R25" s="743">
        <f>R20+R24</f>
        <v>53115</v>
      </c>
    </row>
    <row r="26" spans="1:39" s="267" customFormat="1" ht="15" customHeight="1" thickTop="1">
      <c r="A26" s="273"/>
      <c r="K26" s="282"/>
      <c r="L26" s="277"/>
      <c r="M26" s="277"/>
      <c r="N26" s="277"/>
      <c r="O26" s="277"/>
      <c r="P26" s="277"/>
      <c r="Q26" s="277"/>
      <c r="R26" s="277"/>
    </row>
    <row r="27" spans="1:39" s="267" customFormat="1" ht="15" customHeight="1">
      <c r="A27" s="273"/>
      <c r="B27" s="267" t="s">
        <v>533</v>
      </c>
      <c r="K27" s="285"/>
      <c r="L27" s="277">
        <v>0</v>
      </c>
      <c r="M27" s="277"/>
      <c r="N27" s="277">
        <v>0</v>
      </c>
      <c r="O27" s="266"/>
      <c r="P27" s="275">
        <v>51045</v>
      </c>
      <c r="Q27" s="284"/>
      <c r="R27" s="275">
        <v>51045</v>
      </c>
    </row>
    <row r="28" spans="1:39" s="267" customFormat="1" ht="15" customHeight="1">
      <c r="A28" s="273"/>
      <c r="B28" s="267" t="s">
        <v>534</v>
      </c>
      <c r="K28" s="285"/>
      <c r="L28" s="277">
        <v>34191</v>
      </c>
      <c r="M28" s="277"/>
      <c r="N28" s="277">
        <v>34191</v>
      </c>
      <c r="O28" s="266"/>
      <c r="P28" s="275">
        <v>0</v>
      </c>
      <c r="Q28" s="284"/>
      <c r="R28" s="275">
        <v>0</v>
      </c>
    </row>
    <row r="29" spans="1:39" s="267" customFormat="1" ht="15" customHeight="1" thickBot="1">
      <c r="A29" s="273"/>
      <c r="K29" s="285"/>
      <c r="L29" s="743">
        <f>SUM(L27:L28)</f>
        <v>34191</v>
      </c>
      <c r="M29" s="277"/>
      <c r="N29" s="743">
        <f>SUM(N27:N28)</f>
        <v>34191</v>
      </c>
      <c r="O29" s="282" t="s">
        <v>362</v>
      </c>
      <c r="P29" s="744">
        <f>SUM(P27:P28)</f>
        <v>51045</v>
      </c>
      <c r="Q29" s="284" t="s">
        <v>362</v>
      </c>
      <c r="R29" s="744">
        <f>SUM(R27:R28)</f>
        <v>51045</v>
      </c>
    </row>
    <row r="30" spans="1:39" s="267" customFormat="1" ht="15" customHeight="1" thickTop="1">
      <c r="A30" s="273"/>
      <c r="K30" s="282"/>
      <c r="L30" s="277"/>
      <c r="M30" s="277"/>
      <c r="N30" s="277"/>
      <c r="O30" s="277"/>
      <c r="P30" s="277"/>
      <c r="Q30" s="277"/>
      <c r="R30" s="277"/>
    </row>
    <row r="31" spans="1:39" s="267" customFormat="1" ht="7.5" customHeight="1">
      <c r="A31" s="273"/>
      <c r="K31" s="329"/>
      <c r="L31" s="329"/>
      <c r="M31" s="329"/>
      <c r="N31" s="329"/>
      <c r="O31" s="283" t="s">
        <v>362</v>
      </c>
      <c r="P31" s="329"/>
      <c r="Q31" s="285" t="s">
        <v>362</v>
      </c>
      <c r="R31" s="329"/>
      <c r="S31" s="283" t="s">
        <v>362</v>
      </c>
      <c r="T31" s="329"/>
    </row>
    <row r="32" spans="1:39" s="267" customFormat="1" ht="15" customHeight="1">
      <c r="A32" s="270"/>
      <c r="B32" s="827" t="s">
        <v>535</v>
      </c>
      <c r="C32" s="827"/>
      <c r="D32" s="827"/>
      <c r="E32" s="827"/>
      <c r="F32" s="827"/>
      <c r="G32" s="827"/>
      <c r="H32" s="827"/>
      <c r="I32" s="827"/>
      <c r="J32" s="827"/>
      <c r="K32" s="827"/>
      <c r="L32" s="827"/>
      <c r="M32" s="827"/>
      <c r="N32" s="827"/>
      <c r="O32" s="827"/>
      <c r="P32" s="827"/>
      <c r="Q32" s="827"/>
      <c r="R32" s="827"/>
      <c r="S32" s="827"/>
      <c r="T32" s="827"/>
      <c r="U32" s="283"/>
      <c r="W32" s="330"/>
      <c r="X32" s="330"/>
      <c r="Y32" s="330"/>
      <c r="Z32" s="330"/>
      <c r="AA32" s="330"/>
      <c r="AB32" s="330"/>
      <c r="AC32" s="330"/>
      <c r="AD32" s="330"/>
      <c r="AE32" s="330"/>
      <c r="AF32" s="330"/>
      <c r="AG32" s="330"/>
      <c r="AH32" s="330"/>
      <c r="AI32" s="330"/>
      <c r="AJ32" s="330"/>
      <c r="AK32" s="330"/>
      <c r="AL32" s="330"/>
      <c r="AM32" s="330"/>
    </row>
    <row r="33" spans="1:39" s="267" customFormat="1" ht="15" customHeight="1">
      <c r="A33" s="270"/>
      <c r="B33" s="331"/>
      <c r="C33" s="331"/>
      <c r="D33" s="331"/>
      <c r="E33" s="331"/>
      <c r="F33" s="331"/>
      <c r="G33" s="331"/>
      <c r="H33" s="331"/>
      <c r="I33" s="331"/>
      <c r="J33" s="331"/>
      <c r="K33" s="331"/>
      <c r="L33" s="330"/>
      <c r="M33" s="330"/>
      <c r="N33" s="330"/>
      <c r="O33" s="330"/>
      <c r="P33" s="330"/>
      <c r="Q33" s="330"/>
      <c r="R33" s="330"/>
      <c r="S33" s="330"/>
      <c r="T33" s="330"/>
      <c r="U33" s="283"/>
      <c r="W33" s="330"/>
      <c r="X33" s="330"/>
      <c r="Y33" s="330"/>
      <c r="Z33" s="330"/>
      <c r="AA33" s="330"/>
      <c r="AB33" s="330"/>
      <c r="AC33" s="330"/>
      <c r="AD33" s="330"/>
      <c r="AE33" s="330"/>
      <c r="AF33" s="330"/>
      <c r="AG33" s="330"/>
      <c r="AH33" s="330"/>
      <c r="AI33" s="330"/>
      <c r="AJ33" s="330"/>
      <c r="AK33" s="330"/>
      <c r="AL33" s="330"/>
      <c r="AM33" s="330"/>
    </row>
    <row r="34" spans="1:39" s="266" customFormat="1" ht="15" customHeight="1">
      <c r="A34" s="270"/>
      <c r="B34" s="332"/>
      <c r="C34" s="332"/>
      <c r="D34" s="332"/>
      <c r="E34" s="332"/>
      <c r="F34" s="332"/>
      <c r="G34" s="332"/>
      <c r="H34" s="332"/>
      <c r="I34" s="332"/>
      <c r="J34" s="332" t="s">
        <v>536</v>
      </c>
      <c r="L34" s="333" t="s">
        <v>537</v>
      </c>
      <c r="M34" s="333"/>
      <c r="N34" s="333" t="s">
        <v>538</v>
      </c>
      <c r="O34" s="271"/>
      <c r="P34" s="333" t="s">
        <v>539</v>
      </c>
      <c r="Q34" s="271"/>
      <c r="R34" s="333" t="s">
        <v>540</v>
      </c>
      <c r="W34" s="334"/>
      <c r="X34" s="334"/>
      <c r="Y34" s="334"/>
      <c r="Z34" s="334"/>
      <c r="AA34" s="334"/>
      <c r="AB34" s="334"/>
      <c r="AC34" s="334"/>
      <c r="AD34" s="334"/>
      <c r="AE34" s="334"/>
      <c r="AF34" s="334"/>
      <c r="AG34" s="334"/>
      <c r="AH34" s="334"/>
      <c r="AI34" s="334"/>
      <c r="AJ34" s="334"/>
      <c r="AK34" s="334"/>
      <c r="AL34" s="334"/>
      <c r="AM34" s="334"/>
    </row>
    <row r="35" spans="1:39" s="266" customFormat="1" ht="15" customHeight="1">
      <c r="A35" s="270"/>
      <c r="B35" s="332"/>
      <c r="C35" s="332"/>
      <c r="D35" s="332"/>
      <c r="E35" s="332"/>
      <c r="F35" s="332"/>
      <c r="G35" s="332"/>
      <c r="H35" s="332"/>
      <c r="I35" s="332"/>
      <c r="J35" s="332"/>
      <c r="L35" s="333" t="s">
        <v>128</v>
      </c>
      <c r="M35" s="333"/>
      <c r="N35" s="333"/>
      <c r="P35" s="333" t="s">
        <v>541</v>
      </c>
      <c r="R35" s="335"/>
      <c r="W35" s="334"/>
      <c r="X35" s="334"/>
      <c r="Y35" s="334"/>
      <c r="Z35" s="334"/>
      <c r="AA35" s="334"/>
      <c r="AB35" s="334"/>
      <c r="AC35" s="334"/>
      <c r="AD35" s="334"/>
      <c r="AE35" s="334"/>
      <c r="AF35" s="334"/>
      <c r="AG35" s="334"/>
      <c r="AH35" s="334"/>
      <c r="AI35" s="334"/>
      <c r="AJ35" s="334"/>
      <c r="AK35" s="334"/>
      <c r="AL35" s="334"/>
      <c r="AM35" s="334"/>
    </row>
    <row r="36" spans="1:39" s="267" customFormat="1" ht="15" customHeight="1">
      <c r="A36" s="270"/>
      <c r="B36" s="730"/>
      <c r="C36" s="730"/>
      <c r="D36" s="730"/>
      <c r="E36" s="730"/>
      <c r="F36" s="730"/>
      <c r="G36" s="730"/>
      <c r="H36" s="730"/>
      <c r="I36" s="730"/>
      <c r="J36" s="730" t="s">
        <v>542</v>
      </c>
      <c r="L36" s="336">
        <v>16000</v>
      </c>
      <c r="M36" s="336"/>
      <c r="N36" s="336" t="s">
        <v>543</v>
      </c>
      <c r="O36" s="269"/>
      <c r="P36" s="337">
        <v>5.13</v>
      </c>
      <c r="Q36" s="269"/>
      <c r="R36" s="336" t="s">
        <v>22</v>
      </c>
      <c r="W36" s="330"/>
      <c r="X36" s="330"/>
      <c r="Y36" s="330"/>
      <c r="Z36" s="330"/>
      <c r="AA36" s="330"/>
      <c r="AB36" s="330"/>
      <c r="AC36" s="330"/>
      <c r="AD36" s="330"/>
      <c r="AE36" s="330"/>
      <c r="AF36" s="330"/>
      <c r="AG36" s="330"/>
      <c r="AH36" s="330"/>
      <c r="AI36" s="330"/>
      <c r="AJ36" s="330"/>
      <c r="AK36" s="330"/>
      <c r="AL36" s="330"/>
      <c r="AM36" s="330"/>
    </row>
    <row r="37" spans="1:39" s="267" customFormat="1" ht="15" customHeight="1">
      <c r="A37" s="270"/>
      <c r="B37" s="730"/>
      <c r="C37" s="730"/>
      <c r="D37" s="730"/>
      <c r="E37" s="730"/>
      <c r="F37" s="730"/>
      <c r="G37" s="730"/>
      <c r="H37" s="730"/>
      <c r="I37" s="730"/>
      <c r="J37" s="730" t="s">
        <v>542</v>
      </c>
      <c r="L37" s="336">
        <v>5000</v>
      </c>
      <c r="M37" s="336"/>
      <c r="N37" s="336" t="s">
        <v>544</v>
      </c>
      <c r="O37" s="269"/>
      <c r="P37" s="337">
        <v>5.48</v>
      </c>
      <c r="Q37" s="269"/>
      <c r="R37" s="336" t="s">
        <v>22</v>
      </c>
      <c r="W37" s="330"/>
      <c r="X37" s="330"/>
      <c r="Y37" s="330"/>
      <c r="Z37" s="330"/>
      <c r="AA37" s="330"/>
      <c r="AB37" s="330"/>
      <c r="AC37" s="330"/>
      <c r="AD37" s="330"/>
      <c r="AE37" s="330"/>
      <c r="AF37" s="330"/>
      <c r="AG37" s="330"/>
      <c r="AH37" s="330"/>
      <c r="AI37" s="330"/>
      <c r="AJ37" s="330"/>
      <c r="AK37" s="330"/>
      <c r="AL37" s="330"/>
      <c r="AM37" s="330"/>
    </row>
    <row r="38" spans="1:39" s="267" customFormat="1" ht="15" customHeight="1">
      <c r="A38" s="270"/>
      <c r="B38" s="730"/>
      <c r="C38" s="730"/>
      <c r="D38" s="730"/>
      <c r="E38" s="730"/>
      <c r="F38" s="730"/>
      <c r="G38" s="730"/>
      <c r="H38" s="730"/>
      <c r="I38" s="730"/>
      <c r="J38" s="730" t="s">
        <v>542</v>
      </c>
      <c r="L38" s="336">
        <v>5000</v>
      </c>
      <c r="M38" s="336"/>
      <c r="N38" s="336" t="s">
        <v>544</v>
      </c>
      <c r="O38" s="269"/>
      <c r="P38" s="336" t="s">
        <v>545</v>
      </c>
      <c r="Q38" s="269"/>
      <c r="R38" s="336" t="s">
        <v>22</v>
      </c>
      <c r="W38" s="330"/>
      <c r="X38" s="330"/>
      <c r="Y38" s="330"/>
      <c r="Z38" s="330"/>
      <c r="AA38" s="330"/>
      <c r="AB38" s="330"/>
      <c r="AC38" s="330"/>
      <c r="AD38" s="330"/>
      <c r="AE38" s="330"/>
      <c r="AF38" s="330"/>
      <c r="AG38" s="330"/>
      <c r="AH38" s="330"/>
      <c r="AI38" s="330"/>
      <c r="AJ38" s="330"/>
      <c r="AK38" s="330"/>
      <c r="AL38" s="330"/>
      <c r="AM38" s="330"/>
    </row>
    <row r="39" spans="1:39" s="267" customFormat="1" ht="15" customHeight="1">
      <c r="A39" s="270"/>
      <c r="B39" s="338"/>
      <c r="C39" s="338"/>
      <c r="D39" s="338"/>
      <c r="E39" s="338"/>
      <c r="F39" s="338"/>
      <c r="G39" s="338"/>
      <c r="H39" s="338"/>
      <c r="I39" s="338"/>
      <c r="J39" s="730" t="s">
        <v>542</v>
      </c>
      <c r="L39" s="745">
        <v>8732</v>
      </c>
      <c r="M39" s="363"/>
      <c r="N39" s="339" t="s">
        <v>546</v>
      </c>
      <c r="O39" s="269"/>
      <c r="P39" s="340" t="s">
        <v>547</v>
      </c>
      <c r="Q39" s="269"/>
      <c r="R39" s="336" t="s">
        <v>22</v>
      </c>
      <c r="U39" s="341"/>
    </row>
    <row r="40" spans="1:39" s="267" customFormat="1" ht="15" customHeight="1">
      <c r="A40" s="270"/>
      <c r="B40" s="338"/>
      <c r="C40" s="338"/>
      <c r="D40" s="338"/>
      <c r="E40" s="338"/>
      <c r="F40" s="338"/>
      <c r="G40" s="338"/>
      <c r="H40" s="338"/>
      <c r="I40" s="338"/>
      <c r="J40" s="730"/>
      <c r="L40" s="339">
        <f>SUM(L36:L39)</f>
        <v>34732</v>
      </c>
      <c r="M40" s="339"/>
      <c r="N40" s="339"/>
      <c r="O40" s="269"/>
      <c r="P40" s="339"/>
      <c r="Q40" s="269"/>
      <c r="R40" s="336"/>
      <c r="U40" s="341"/>
    </row>
    <row r="41" spans="1:39" s="267" customFormat="1" ht="15" customHeight="1">
      <c r="A41" s="270"/>
      <c r="B41" s="338"/>
      <c r="C41" s="338"/>
      <c r="D41" s="338"/>
      <c r="E41" s="338"/>
      <c r="F41" s="338"/>
      <c r="G41" s="338"/>
      <c r="H41" s="338"/>
      <c r="I41" s="338"/>
      <c r="J41" s="332"/>
      <c r="L41" s="342"/>
      <c r="M41" s="342"/>
      <c r="N41" s="338"/>
      <c r="O41" s="339"/>
      <c r="Q41" s="341"/>
      <c r="R41" s="341"/>
      <c r="U41" s="341"/>
      <c r="V41" s="730"/>
    </row>
    <row r="42" spans="1:39" s="267" customFormat="1" ht="15" customHeight="1">
      <c r="A42" s="270"/>
      <c r="B42" s="338"/>
      <c r="C42" s="338"/>
      <c r="D42" s="338"/>
      <c r="E42" s="338"/>
      <c r="F42" s="338"/>
      <c r="G42" s="338"/>
      <c r="H42" s="338"/>
      <c r="I42" s="338"/>
      <c r="J42" s="338" t="s">
        <v>542</v>
      </c>
      <c r="L42" s="336">
        <v>142</v>
      </c>
      <c r="M42" s="336"/>
      <c r="N42" s="339" t="s">
        <v>544</v>
      </c>
      <c r="O42" s="338"/>
      <c r="P42" s="343">
        <v>5</v>
      </c>
      <c r="Q42" s="338"/>
      <c r="R42" s="339" t="s">
        <v>548</v>
      </c>
      <c r="U42" s="341"/>
      <c r="V42" s="341"/>
    </row>
    <row r="43" spans="1:39" s="267" customFormat="1" ht="15" customHeight="1">
      <c r="A43" s="270"/>
      <c r="B43" s="338"/>
      <c r="C43" s="338"/>
      <c r="D43" s="338"/>
      <c r="E43" s="338"/>
      <c r="F43" s="338"/>
      <c r="G43" s="338"/>
      <c r="H43" s="338"/>
      <c r="I43" s="338"/>
      <c r="J43" s="338"/>
      <c r="L43" s="336"/>
      <c r="M43" s="336"/>
      <c r="N43" s="336"/>
      <c r="O43" s="338"/>
      <c r="P43" s="339"/>
      <c r="Q43" s="338"/>
      <c r="R43" s="339"/>
      <c r="S43" s="338"/>
      <c r="T43" s="341"/>
      <c r="U43" s="341"/>
      <c r="V43" s="341"/>
    </row>
    <row r="44" spans="1:39" s="267" customFormat="1" ht="15" customHeight="1" thickBot="1">
      <c r="A44" s="270"/>
      <c r="B44" s="338"/>
      <c r="C44" s="338"/>
      <c r="D44" s="338"/>
      <c r="E44" s="338"/>
      <c r="F44" s="338"/>
      <c r="G44" s="338"/>
      <c r="H44" s="338"/>
      <c r="I44" s="338"/>
      <c r="J44" s="338" t="s">
        <v>399</v>
      </c>
      <c r="L44" s="746">
        <f>SUM(L40:L43)</f>
        <v>34874</v>
      </c>
      <c r="M44" s="344"/>
      <c r="N44" s="344"/>
      <c r="O44" s="338"/>
      <c r="P44" s="339"/>
      <c r="Q44" s="338"/>
      <c r="R44" s="339"/>
      <c r="S44" s="338"/>
      <c r="T44" s="341"/>
      <c r="U44" s="341" t="s">
        <v>362</v>
      </c>
      <c r="V44" s="341"/>
    </row>
    <row r="45" spans="1:39" s="267" customFormat="1" ht="15" customHeight="1" thickTop="1">
      <c r="A45" s="270"/>
      <c r="B45" s="338"/>
      <c r="C45" s="338"/>
      <c r="D45" s="338"/>
      <c r="E45" s="338"/>
      <c r="F45" s="338"/>
      <c r="G45" s="338"/>
      <c r="H45" s="338"/>
      <c r="I45" s="338"/>
      <c r="J45" s="338"/>
      <c r="L45" s="344"/>
      <c r="M45" s="344"/>
      <c r="N45" s="344"/>
      <c r="O45" s="338"/>
      <c r="P45" s="339"/>
      <c r="Q45" s="338"/>
      <c r="R45" s="339"/>
      <c r="S45" s="338"/>
      <c r="T45" s="341"/>
      <c r="U45" s="341"/>
      <c r="V45" s="341"/>
    </row>
    <row r="46" spans="1:39" s="267" customFormat="1" ht="18" customHeight="1">
      <c r="A46" s="270"/>
      <c r="B46" s="828" t="s">
        <v>549</v>
      </c>
      <c r="C46" s="828"/>
      <c r="D46" s="828"/>
      <c r="E46" s="828"/>
      <c r="F46" s="828"/>
      <c r="G46" s="828"/>
      <c r="H46" s="828"/>
      <c r="I46" s="828"/>
      <c r="J46" s="828"/>
      <c r="K46" s="828"/>
      <c r="L46" s="828"/>
      <c r="M46" s="828"/>
      <c r="N46" s="828"/>
      <c r="O46" s="828"/>
      <c r="P46" s="828"/>
      <c r="Q46" s="828"/>
      <c r="R46" s="828"/>
      <c r="S46" s="338"/>
      <c r="T46" s="341"/>
      <c r="U46" s="341"/>
      <c r="V46" s="341"/>
    </row>
    <row r="47" spans="1:39" s="267" customFormat="1" ht="15" customHeight="1">
      <c r="A47" s="270">
        <v>24</v>
      </c>
      <c r="B47" s="272" t="s">
        <v>550</v>
      </c>
      <c r="C47" s="328"/>
      <c r="I47" s="269"/>
      <c r="J47" s="269"/>
      <c r="K47" s="270"/>
      <c r="L47" s="345"/>
      <c r="M47" s="345"/>
      <c r="N47" s="345"/>
      <c r="O47" s="266"/>
      <c r="P47" s="345"/>
      <c r="Q47" s="283"/>
      <c r="R47" s="329"/>
      <c r="S47" s="283"/>
      <c r="T47" s="346"/>
    </row>
    <row r="48" spans="1:39" s="267" customFormat="1" ht="6" customHeight="1">
      <c r="A48" s="270"/>
      <c r="B48" s="266"/>
      <c r="I48" s="269"/>
      <c r="J48" s="269"/>
      <c r="K48" s="270"/>
      <c r="L48" s="347"/>
      <c r="M48" s="347"/>
      <c r="N48" s="347"/>
      <c r="P48" s="347"/>
      <c r="Q48" s="283"/>
      <c r="R48" s="329"/>
      <c r="S48" s="283"/>
      <c r="T48" s="329"/>
    </row>
    <row r="49" spans="1:39" s="267" customFormat="1" ht="15" customHeight="1">
      <c r="A49" s="270"/>
      <c r="J49" s="269"/>
      <c r="K49" s="270"/>
      <c r="V49" s="269"/>
      <c r="W49" s="269"/>
      <c r="X49" s="269"/>
      <c r="Y49" s="269"/>
      <c r="Z49" s="269"/>
      <c r="AA49" s="269"/>
      <c r="AB49" s="269"/>
      <c r="AC49" s="269"/>
      <c r="AD49" s="269"/>
      <c r="AE49" s="269"/>
      <c r="AF49" s="269"/>
      <c r="AG49" s="269"/>
      <c r="AH49" s="269"/>
      <c r="AI49" s="269"/>
      <c r="AJ49" s="269"/>
      <c r="AK49" s="269"/>
      <c r="AL49" s="269"/>
      <c r="AM49" s="269"/>
    </row>
    <row r="50" spans="1:39" s="267" customFormat="1" ht="15" customHeight="1">
      <c r="A50" s="270"/>
      <c r="B50" s="829" t="s">
        <v>21</v>
      </c>
      <c r="C50" s="829"/>
      <c r="D50" s="829"/>
      <c r="E50" s="829"/>
      <c r="F50" s="829"/>
      <c r="G50" s="829"/>
      <c r="H50" s="829"/>
      <c r="I50" s="829"/>
      <c r="J50" s="266" t="s">
        <v>551</v>
      </c>
      <c r="L50" s="271" t="s">
        <v>552</v>
      </c>
      <c r="M50" s="271"/>
      <c r="N50" s="271" t="s">
        <v>553</v>
      </c>
      <c r="O50" s="266"/>
      <c r="P50" s="271" t="s">
        <v>399</v>
      </c>
      <c r="R50" s="282"/>
      <c r="S50" s="285"/>
      <c r="U50" s="283"/>
      <c r="V50" s="329"/>
      <c r="W50" s="269"/>
      <c r="X50" s="269"/>
      <c r="Y50" s="269"/>
      <c r="Z50" s="269"/>
      <c r="AA50" s="269"/>
      <c r="AB50" s="269"/>
      <c r="AC50" s="269"/>
      <c r="AD50" s="269"/>
      <c r="AE50" s="269"/>
      <c r="AF50" s="269"/>
      <c r="AG50" s="269"/>
      <c r="AH50" s="269"/>
      <c r="AI50" s="269"/>
      <c r="AJ50" s="269"/>
      <c r="AK50" s="269"/>
      <c r="AL50" s="269"/>
      <c r="AM50" s="269"/>
    </row>
    <row r="51" spans="1:39" s="267" customFormat="1" ht="15" customHeight="1">
      <c r="J51" s="266" t="s">
        <v>554</v>
      </c>
      <c r="L51" s="348" t="s">
        <v>555</v>
      </c>
      <c r="M51" s="348"/>
      <c r="N51" s="348" t="s">
        <v>556</v>
      </c>
      <c r="O51" s="266"/>
      <c r="P51" s="271" t="s">
        <v>557</v>
      </c>
      <c r="R51" s="271" t="s">
        <v>558</v>
      </c>
      <c r="S51" s="268"/>
      <c r="T51" s="282"/>
      <c r="U51" s="283"/>
      <c r="V51" s="271" t="s">
        <v>559</v>
      </c>
      <c r="W51" s="269"/>
      <c r="X51" s="269"/>
      <c r="Y51" s="269"/>
      <c r="Z51" s="269"/>
      <c r="AA51" s="269"/>
      <c r="AB51" s="269"/>
      <c r="AC51" s="269"/>
      <c r="AD51" s="269"/>
      <c r="AE51" s="269"/>
      <c r="AF51" s="269"/>
      <c r="AG51" s="269"/>
      <c r="AH51" s="269"/>
      <c r="AI51" s="269"/>
      <c r="AJ51" s="269"/>
      <c r="AK51" s="269"/>
      <c r="AL51" s="269"/>
      <c r="AM51" s="269"/>
    </row>
    <row r="52" spans="1:39" s="267" customFormat="1" ht="15" customHeight="1">
      <c r="J52" s="266" t="s">
        <v>560</v>
      </c>
      <c r="L52" s="260" t="s">
        <v>561</v>
      </c>
      <c r="M52" s="260"/>
      <c r="N52" s="260" t="s">
        <v>562</v>
      </c>
      <c r="O52" s="266"/>
      <c r="P52" s="271" t="s">
        <v>85</v>
      </c>
      <c r="R52" s="271" t="s">
        <v>563</v>
      </c>
      <c r="S52" s="268"/>
      <c r="T52" s="282" t="s">
        <v>377</v>
      </c>
      <c r="U52" s="283"/>
      <c r="V52" s="271" t="s">
        <v>311</v>
      </c>
      <c r="W52" s="269"/>
      <c r="X52" s="269"/>
      <c r="Y52" s="269"/>
      <c r="Z52" s="269"/>
      <c r="AA52" s="269"/>
      <c r="AB52" s="269"/>
      <c r="AC52" s="269"/>
      <c r="AD52" s="269"/>
      <c r="AE52" s="269"/>
      <c r="AF52" s="269"/>
      <c r="AG52" s="269"/>
      <c r="AH52" s="269"/>
      <c r="AI52" s="269"/>
      <c r="AJ52" s="269"/>
      <c r="AK52" s="269"/>
      <c r="AL52" s="269"/>
      <c r="AM52" s="269"/>
    </row>
    <row r="53" spans="1:39" s="267" customFormat="1" ht="15" customHeight="1">
      <c r="J53" s="271" t="s">
        <v>23</v>
      </c>
      <c r="L53" s="271" t="s">
        <v>23</v>
      </c>
      <c r="M53" s="271"/>
      <c r="N53" s="271" t="s">
        <v>23</v>
      </c>
      <c r="P53" s="271" t="s">
        <v>128</v>
      </c>
      <c r="R53" s="271" t="s">
        <v>23</v>
      </c>
      <c r="S53" s="269"/>
      <c r="T53" s="271" t="s">
        <v>23</v>
      </c>
      <c r="U53" s="269"/>
      <c r="V53" s="271" t="s">
        <v>68</v>
      </c>
      <c r="W53" s="269"/>
      <c r="X53" s="269"/>
      <c r="Y53" s="269"/>
      <c r="Z53" s="269"/>
      <c r="AA53" s="269"/>
      <c r="AB53" s="269"/>
      <c r="AC53" s="269"/>
      <c r="AD53" s="269"/>
      <c r="AE53" s="269"/>
      <c r="AF53" s="269"/>
      <c r="AG53" s="269"/>
      <c r="AH53" s="269"/>
      <c r="AI53" s="269"/>
      <c r="AJ53" s="269"/>
      <c r="AK53" s="269"/>
      <c r="AL53" s="269"/>
      <c r="AM53" s="269"/>
    </row>
    <row r="54" spans="1:39" s="267" customFormat="1" ht="15" customHeight="1">
      <c r="L54" s="269"/>
      <c r="M54" s="269"/>
      <c r="N54" s="269"/>
      <c r="R54" s="269"/>
      <c r="S54" s="269"/>
      <c r="T54" s="284"/>
      <c r="U54" s="269"/>
      <c r="V54" s="271"/>
      <c r="W54" s="269"/>
      <c r="X54" s="269"/>
      <c r="Y54" s="269"/>
      <c r="Z54" s="269"/>
      <c r="AA54" s="269"/>
      <c r="AB54" s="269"/>
      <c r="AC54" s="269"/>
      <c r="AD54" s="269"/>
      <c r="AE54" s="269"/>
      <c r="AF54" s="269"/>
      <c r="AG54" s="269"/>
      <c r="AH54" s="269"/>
      <c r="AI54" s="269"/>
      <c r="AJ54" s="269"/>
      <c r="AK54" s="269"/>
      <c r="AL54" s="269"/>
      <c r="AM54" s="269"/>
    </row>
    <row r="55" spans="1:39" s="267" customFormat="1" ht="15" customHeight="1">
      <c r="B55" s="267" t="s">
        <v>401</v>
      </c>
      <c r="J55" s="267">
        <v>14990</v>
      </c>
      <c r="L55" s="275">
        <v>842</v>
      </c>
      <c r="M55" s="275"/>
      <c r="N55" s="275">
        <v>841</v>
      </c>
      <c r="O55" s="275"/>
      <c r="P55" s="277">
        <f>SUM(J55:N55)</f>
        <v>16673</v>
      </c>
      <c r="R55" s="275">
        <v>13082</v>
      </c>
      <c r="S55" s="275"/>
      <c r="T55" s="275">
        <v>1686</v>
      </c>
      <c r="U55" s="275"/>
      <c r="V55" s="277">
        <f>SUM(R55:T55)</f>
        <v>14768</v>
      </c>
      <c r="W55" s="269"/>
      <c r="X55" s="269"/>
      <c r="Y55" s="269"/>
      <c r="Z55" s="269"/>
      <c r="AA55" s="269"/>
      <c r="AB55" s="269"/>
      <c r="AC55" s="269"/>
      <c r="AD55" s="269"/>
      <c r="AE55" s="269"/>
      <c r="AF55" s="269"/>
      <c r="AG55" s="269"/>
      <c r="AH55" s="269"/>
      <c r="AI55" s="269"/>
      <c r="AJ55" s="269"/>
      <c r="AK55" s="269"/>
      <c r="AL55" s="269"/>
      <c r="AM55" s="269"/>
    </row>
    <row r="56" spans="1:39" s="267" customFormat="1" ht="15" customHeight="1">
      <c r="B56" s="267" t="s">
        <v>564</v>
      </c>
      <c r="J56" s="267">
        <v>-389</v>
      </c>
      <c r="L56" s="275">
        <v>-51</v>
      </c>
      <c r="M56" s="275"/>
      <c r="N56" s="275">
        <v>-51</v>
      </c>
      <c r="O56" s="275"/>
      <c r="P56" s="277">
        <f>SUM(J56:N56)</f>
        <v>-491</v>
      </c>
      <c r="R56" s="275">
        <v>-3500</v>
      </c>
      <c r="S56" s="275"/>
      <c r="T56" s="275">
        <v>-105</v>
      </c>
      <c r="U56" s="275"/>
      <c r="V56" s="277">
        <f>SUM(R56:T56)</f>
        <v>-3605</v>
      </c>
      <c r="W56" s="269"/>
      <c r="X56" s="269"/>
      <c r="Y56" s="269"/>
      <c r="Z56" s="269"/>
      <c r="AA56" s="269"/>
      <c r="AB56" s="269"/>
      <c r="AC56" s="269"/>
      <c r="AD56" s="269"/>
      <c r="AE56" s="269"/>
      <c r="AF56" s="269"/>
      <c r="AG56" s="269"/>
      <c r="AH56" s="269"/>
      <c r="AI56" s="269"/>
      <c r="AJ56" s="269"/>
      <c r="AK56" s="269"/>
      <c r="AL56" s="269"/>
      <c r="AM56" s="269"/>
    </row>
    <row r="57" spans="1:39" s="267" customFormat="1" ht="15" customHeight="1">
      <c r="B57" s="267" t="s">
        <v>1018</v>
      </c>
      <c r="J57" s="267">
        <v>1200</v>
      </c>
      <c r="L57" s="275">
        <v>60</v>
      </c>
      <c r="M57" s="275"/>
      <c r="N57" s="275">
        <v>61</v>
      </c>
      <c r="O57" s="275"/>
      <c r="P57" s="277">
        <f>SUM(J57:N57)</f>
        <v>1321</v>
      </c>
      <c r="R57" s="275">
        <v>1432</v>
      </c>
      <c r="S57" s="275"/>
      <c r="T57" s="275">
        <v>141</v>
      </c>
      <c r="U57" s="275"/>
      <c r="V57" s="277">
        <f>SUM(R57:T57)</f>
        <v>1573</v>
      </c>
      <c r="W57" s="269"/>
      <c r="X57" s="269"/>
      <c r="Y57" s="269"/>
      <c r="Z57" s="269"/>
      <c r="AA57" s="269"/>
      <c r="AB57" s="269"/>
      <c r="AC57" s="269"/>
      <c r="AD57" s="269"/>
      <c r="AE57" s="269"/>
      <c r="AF57" s="269"/>
      <c r="AG57" s="269"/>
      <c r="AH57" s="269"/>
      <c r="AI57" s="269"/>
      <c r="AJ57" s="269"/>
      <c r="AK57" s="269"/>
      <c r="AL57" s="269"/>
      <c r="AM57" s="269"/>
    </row>
    <row r="58" spans="1:39" s="267" customFormat="1" ht="15" customHeight="1">
      <c r="B58" s="267" t="s">
        <v>1019</v>
      </c>
      <c r="J58" s="267">
        <v>0</v>
      </c>
      <c r="L58" s="275">
        <v>0</v>
      </c>
      <c r="M58" s="275"/>
      <c r="N58" s="275">
        <v>0</v>
      </c>
      <c r="O58" s="275"/>
      <c r="P58" s="277">
        <f>SUM(J58:N58)</f>
        <v>0</v>
      </c>
      <c r="R58" s="275">
        <f>1242-R57</f>
        <v>-190</v>
      </c>
      <c r="S58" s="275"/>
      <c r="T58" s="275">
        <v>-20</v>
      </c>
      <c r="U58" s="275"/>
      <c r="V58" s="277">
        <f>SUM(R58:T58)</f>
        <v>-210</v>
      </c>
      <c r="W58" s="269"/>
      <c r="X58" s="269"/>
      <c r="Y58" s="269"/>
      <c r="Z58" s="269"/>
      <c r="AA58" s="269"/>
      <c r="AB58" s="269"/>
      <c r="AC58" s="269"/>
      <c r="AD58" s="269"/>
      <c r="AE58" s="269"/>
      <c r="AF58" s="269"/>
      <c r="AG58" s="269"/>
      <c r="AH58" s="269"/>
      <c r="AI58" s="269"/>
      <c r="AJ58" s="269"/>
      <c r="AK58" s="269"/>
      <c r="AL58" s="269"/>
      <c r="AM58" s="269"/>
    </row>
    <row r="59" spans="1:39" s="267" customFormat="1" ht="15" customHeight="1" thickBot="1">
      <c r="B59" s="266" t="s">
        <v>406</v>
      </c>
      <c r="J59" s="83">
        <f>SUM(J55:J58)</f>
        <v>15801</v>
      </c>
      <c r="L59" s="83">
        <f>SUM(L55:L58)</f>
        <v>851</v>
      </c>
      <c r="M59" s="277"/>
      <c r="N59" s="83">
        <f>SUM(N55:N58)</f>
        <v>851</v>
      </c>
      <c r="O59" s="275"/>
      <c r="P59" s="83">
        <f>SUM(J59:N59)</f>
        <v>17503</v>
      </c>
      <c r="R59" s="83">
        <f>SUM(R55:R58)</f>
        <v>10824</v>
      </c>
      <c r="S59" s="275"/>
      <c r="T59" s="83">
        <f>SUM(T55:T58)</f>
        <v>1702</v>
      </c>
      <c r="U59" s="275"/>
      <c r="V59" s="83">
        <f>SUM(R59:T59)</f>
        <v>12526</v>
      </c>
      <c r="W59" s="269"/>
      <c r="X59" s="269"/>
      <c r="Y59" s="269"/>
      <c r="Z59" s="269"/>
      <c r="AA59" s="269"/>
      <c r="AB59" s="269"/>
      <c r="AC59" s="269"/>
      <c r="AD59" s="269"/>
      <c r="AE59" s="269"/>
      <c r="AF59" s="269"/>
      <c r="AG59" s="269"/>
      <c r="AH59" s="269"/>
      <c r="AI59" s="269"/>
      <c r="AJ59" s="269"/>
      <c r="AK59" s="269"/>
      <c r="AL59" s="269"/>
      <c r="AM59" s="269"/>
    </row>
    <row r="60" spans="1:39" s="267" customFormat="1" ht="15" customHeight="1" thickTop="1">
      <c r="B60" s="266"/>
      <c r="L60" s="284"/>
      <c r="M60" s="284"/>
      <c r="N60" s="284"/>
      <c r="P60" s="282"/>
      <c r="R60" s="282"/>
      <c r="S60" s="269"/>
      <c r="T60" s="282"/>
      <c r="U60" s="269"/>
      <c r="V60" s="282"/>
      <c r="W60" s="269"/>
      <c r="X60" s="269"/>
      <c r="Y60" s="269"/>
      <c r="Z60" s="269"/>
      <c r="AA60" s="269"/>
      <c r="AB60" s="269"/>
      <c r="AC60" s="269"/>
      <c r="AD60" s="269"/>
      <c r="AE60" s="269"/>
      <c r="AF60" s="269"/>
      <c r="AG60" s="269"/>
      <c r="AH60" s="269"/>
      <c r="AI60" s="269"/>
      <c r="AJ60" s="269"/>
      <c r="AK60" s="269"/>
      <c r="AL60" s="269"/>
      <c r="AM60" s="269"/>
    </row>
    <row r="61" spans="1:39" s="267" customFormat="1" ht="15" customHeight="1">
      <c r="A61" s="270"/>
      <c r="J61" s="269"/>
      <c r="K61" s="270"/>
      <c r="W61" s="269"/>
      <c r="X61" s="269"/>
      <c r="Y61" s="269"/>
      <c r="Z61" s="269"/>
      <c r="AA61" s="269"/>
      <c r="AB61" s="269"/>
      <c r="AC61" s="269"/>
      <c r="AD61" s="269"/>
      <c r="AE61" s="269"/>
      <c r="AF61" s="269"/>
      <c r="AG61" s="269"/>
      <c r="AH61" s="269"/>
      <c r="AI61" s="269"/>
      <c r="AJ61" s="269"/>
      <c r="AK61" s="269"/>
      <c r="AL61" s="269"/>
      <c r="AM61" s="269"/>
    </row>
    <row r="62" spans="1:39" s="267" customFormat="1" ht="15" customHeight="1">
      <c r="A62" s="270"/>
      <c r="B62" s="829" t="s">
        <v>22</v>
      </c>
      <c r="C62" s="829"/>
      <c r="D62" s="829"/>
      <c r="E62" s="829"/>
      <c r="F62" s="829"/>
      <c r="G62" s="829"/>
      <c r="H62" s="829"/>
      <c r="I62" s="829"/>
      <c r="J62" s="266" t="s">
        <v>551</v>
      </c>
      <c r="K62" s="347"/>
      <c r="L62" s="282" t="s">
        <v>552</v>
      </c>
      <c r="M62" s="282"/>
      <c r="N62" s="271" t="s">
        <v>565</v>
      </c>
      <c r="P62" s="271" t="s">
        <v>399</v>
      </c>
      <c r="R62" s="282"/>
      <c r="S62" s="285"/>
      <c r="U62" s="285"/>
      <c r="V62" s="329"/>
      <c r="W62" s="269"/>
      <c r="X62" s="269"/>
      <c r="Y62" s="269"/>
      <c r="Z62" s="269"/>
      <c r="AA62" s="269"/>
      <c r="AB62" s="269"/>
      <c r="AC62" s="269"/>
      <c r="AD62" s="269"/>
      <c r="AE62" s="269"/>
      <c r="AF62" s="269"/>
      <c r="AG62" s="269"/>
      <c r="AH62" s="269"/>
      <c r="AI62" s="269"/>
      <c r="AJ62" s="269"/>
      <c r="AK62" s="269"/>
      <c r="AL62" s="269"/>
      <c r="AM62" s="269"/>
    </row>
    <row r="63" spans="1:39" s="267" customFormat="1" ht="15" customHeight="1">
      <c r="J63" s="266" t="s">
        <v>554</v>
      </c>
      <c r="L63" s="271" t="s">
        <v>566</v>
      </c>
      <c r="M63" s="271"/>
      <c r="N63" s="348" t="s">
        <v>567</v>
      </c>
      <c r="P63" s="271" t="s">
        <v>557</v>
      </c>
      <c r="R63" s="271" t="s">
        <v>568</v>
      </c>
      <c r="S63" s="268"/>
      <c r="U63" s="285"/>
      <c r="V63" s="271" t="s">
        <v>559</v>
      </c>
      <c r="W63" s="269"/>
      <c r="X63" s="269"/>
      <c r="Y63" s="269"/>
      <c r="Z63" s="269"/>
      <c r="AA63" s="269"/>
      <c r="AB63" s="269"/>
      <c r="AC63" s="269"/>
      <c r="AD63" s="269"/>
      <c r="AE63" s="269"/>
      <c r="AF63" s="269"/>
      <c r="AG63" s="269"/>
      <c r="AH63" s="269"/>
      <c r="AI63" s="269"/>
      <c r="AJ63" s="269"/>
      <c r="AK63" s="269"/>
      <c r="AL63" s="269"/>
      <c r="AM63" s="269"/>
    </row>
    <row r="64" spans="1:39" s="267" customFormat="1" ht="15" customHeight="1">
      <c r="J64" s="266" t="s">
        <v>560</v>
      </c>
      <c r="L64" s="271" t="s">
        <v>561</v>
      </c>
      <c r="M64" s="271"/>
      <c r="N64" s="260" t="s">
        <v>1035</v>
      </c>
      <c r="P64" s="271" t="s">
        <v>85</v>
      </c>
      <c r="R64" s="271" t="s">
        <v>563</v>
      </c>
      <c r="S64" s="268"/>
      <c r="T64" s="282" t="s">
        <v>377</v>
      </c>
      <c r="U64" s="285"/>
      <c r="V64" s="271" t="s">
        <v>311</v>
      </c>
      <c r="W64" s="269"/>
      <c r="X64" s="269"/>
      <c r="Y64" s="269"/>
      <c r="Z64" s="269"/>
      <c r="AA64" s="269"/>
      <c r="AB64" s="269"/>
      <c r="AC64" s="269"/>
      <c r="AD64" s="269"/>
      <c r="AE64" s="269"/>
      <c r="AF64" s="269"/>
      <c r="AG64" s="269"/>
      <c r="AH64" s="269"/>
      <c r="AI64" s="269"/>
      <c r="AJ64" s="269"/>
      <c r="AK64" s="269"/>
      <c r="AL64" s="269"/>
      <c r="AM64" s="269"/>
    </row>
    <row r="65" spans="2:39" s="267" customFormat="1" ht="15" customHeight="1">
      <c r="J65" s="271" t="s">
        <v>23</v>
      </c>
      <c r="L65" s="271" t="s">
        <v>23</v>
      </c>
      <c r="M65" s="271"/>
      <c r="N65" s="271" t="s">
        <v>23</v>
      </c>
      <c r="P65" s="271" t="s">
        <v>128</v>
      </c>
      <c r="R65" s="271" t="s">
        <v>23</v>
      </c>
      <c r="S65" s="269"/>
      <c r="T65" s="271" t="s">
        <v>23</v>
      </c>
      <c r="U65" s="269"/>
      <c r="V65" s="271" t="s">
        <v>68</v>
      </c>
      <c r="W65" s="269"/>
      <c r="X65" s="269"/>
      <c r="Y65" s="269"/>
      <c r="Z65" s="269"/>
      <c r="AA65" s="269"/>
      <c r="AB65" s="269"/>
      <c r="AC65" s="269"/>
      <c r="AD65" s="269"/>
      <c r="AE65" s="269"/>
      <c r="AF65" s="269"/>
      <c r="AG65" s="269"/>
      <c r="AH65" s="269"/>
      <c r="AI65" s="269"/>
      <c r="AJ65" s="269"/>
      <c r="AK65" s="269"/>
      <c r="AL65" s="269"/>
      <c r="AM65" s="269"/>
    </row>
    <row r="66" spans="2:39" s="267" customFormat="1" ht="15" customHeight="1">
      <c r="L66" s="269"/>
      <c r="M66" s="269"/>
      <c r="N66" s="269"/>
      <c r="P66" s="271"/>
      <c r="R66" s="269"/>
      <c r="S66" s="269"/>
      <c r="U66" s="269"/>
      <c r="V66" s="271"/>
      <c r="W66" s="269"/>
      <c r="X66" s="269"/>
      <c r="Y66" s="269"/>
      <c r="Z66" s="269"/>
      <c r="AA66" s="269"/>
      <c r="AB66" s="269"/>
      <c r="AC66" s="269"/>
      <c r="AD66" s="269"/>
      <c r="AE66" s="269"/>
      <c r="AF66" s="269"/>
      <c r="AG66" s="269"/>
      <c r="AH66" s="269"/>
      <c r="AI66" s="269"/>
      <c r="AJ66" s="269"/>
      <c r="AK66" s="269"/>
      <c r="AL66" s="269"/>
      <c r="AM66" s="269"/>
    </row>
    <row r="67" spans="2:39" s="267" customFormat="1" ht="15" customHeight="1">
      <c r="B67" s="267" t="s">
        <v>401</v>
      </c>
      <c r="J67" s="267">
        <v>14987</v>
      </c>
      <c r="L67" s="275">
        <v>842</v>
      </c>
      <c r="M67" s="275"/>
      <c r="N67" s="275">
        <v>841</v>
      </c>
      <c r="P67" s="277">
        <f>SUM(J67:N67)</f>
        <v>16670</v>
      </c>
      <c r="R67" s="275">
        <v>13082</v>
      </c>
      <c r="S67" s="275"/>
      <c r="T67" s="267">
        <v>1686</v>
      </c>
      <c r="U67" s="275"/>
      <c r="V67" s="277">
        <f>SUM(R67:T67)</f>
        <v>14768</v>
      </c>
      <c r="W67" s="269"/>
      <c r="X67" s="269"/>
      <c r="Y67" s="269"/>
      <c r="Z67" s="269"/>
      <c r="AA67" s="269"/>
      <c r="AB67" s="269"/>
      <c r="AC67" s="269"/>
      <c r="AD67" s="269"/>
      <c r="AE67" s="269"/>
      <c r="AF67" s="269"/>
      <c r="AG67" s="269"/>
      <c r="AH67" s="269"/>
      <c r="AI67" s="269"/>
      <c r="AJ67" s="269"/>
      <c r="AK67" s="269"/>
      <c r="AL67" s="269"/>
      <c r="AM67" s="269"/>
    </row>
    <row r="68" spans="2:39" s="267" customFormat="1" ht="15" customHeight="1">
      <c r="B68" s="267" t="s">
        <v>564</v>
      </c>
      <c r="J68" s="267">
        <v>-386</v>
      </c>
      <c r="L68" s="275">
        <v>-51</v>
      </c>
      <c r="M68" s="275"/>
      <c r="N68" s="275">
        <v>-51</v>
      </c>
      <c r="P68" s="277">
        <f>SUM(J68:N68)</f>
        <v>-488</v>
      </c>
      <c r="R68" s="275">
        <v>-3500</v>
      </c>
      <c r="S68" s="275"/>
      <c r="T68" s="267">
        <v>-105</v>
      </c>
      <c r="U68" s="275"/>
      <c r="V68" s="277">
        <f>SUM(R68:T68)</f>
        <v>-3605</v>
      </c>
      <c r="W68" s="269"/>
      <c r="X68" s="269"/>
      <c r="Y68" s="269"/>
      <c r="Z68" s="269"/>
      <c r="AA68" s="269"/>
      <c r="AB68" s="269"/>
      <c r="AC68" s="269"/>
      <c r="AD68" s="269"/>
      <c r="AE68" s="269"/>
      <c r="AF68" s="269"/>
      <c r="AG68" s="269"/>
      <c r="AH68" s="269"/>
      <c r="AI68" s="269"/>
      <c r="AJ68" s="269"/>
      <c r="AK68" s="269"/>
      <c r="AL68" s="269"/>
      <c r="AM68" s="269"/>
    </row>
    <row r="69" spans="2:39" s="267" customFormat="1" ht="15" customHeight="1">
      <c r="B69" s="267" t="s">
        <v>1018</v>
      </c>
      <c r="J69" s="267">
        <v>1200</v>
      </c>
      <c r="L69" s="275">
        <v>60</v>
      </c>
      <c r="M69" s="275"/>
      <c r="N69" s="275">
        <v>61</v>
      </c>
      <c r="P69" s="277">
        <f>SUM(J69:N69)</f>
        <v>1321</v>
      </c>
      <c r="R69" s="275">
        <v>1432</v>
      </c>
      <c r="S69" s="275"/>
      <c r="T69" s="275">
        <v>141</v>
      </c>
      <c r="U69" s="275"/>
      <c r="V69" s="277">
        <f>SUM(R69:T69)</f>
        <v>1573</v>
      </c>
      <c r="W69" s="269"/>
      <c r="X69" s="269"/>
      <c r="Y69" s="269"/>
      <c r="Z69" s="269"/>
      <c r="AA69" s="269"/>
      <c r="AB69" s="269"/>
      <c r="AC69" s="269"/>
      <c r="AD69" s="269"/>
      <c r="AE69" s="269"/>
      <c r="AF69" s="269"/>
      <c r="AG69" s="269"/>
      <c r="AH69" s="269"/>
      <c r="AI69" s="269"/>
      <c r="AJ69" s="269"/>
      <c r="AK69" s="269"/>
      <c r="AL69" s="269"/>
      <c r="AM69" s="269"/>
    </row>
    <row r="70" spans="2:39" s="267" customFormat="1" ht="15" customHeight="1">
      <c r="B70" s="267" t="s">
        <v>1019</v>
      </c>
      <c r="J70" s="267">
        <v>0</v>
      </c>
      <c r="L70" s="275">
        <v>0</v>
      </c>
      <c r="M70" s="275"/>
      <c r="N70" s="275">
        <v>0</v>
      </c>
      <c r="P70" s="277">
        <f>SUM(J70:N70)</f>
        <v>0</v>
      </c>
      <c r="R70" s="275">
        <f>1242-R69</f>
        <v>-190</v>
      </c>
      <c r="S70" s="275"/>
      <c r="T70" s="275">
        <v>-20</v>
      </c>
      <c r="U70" s="275"/>
      <c r="V70" s="277">
        <f>SUM(R70:T70)</f>
        <v>-210</v>
      </c>
      <c r="W70" s="269"/>
      <c r="X70" s="269"/>
      <c r="Y70" s="269"/>
      <c r="Z70" s="269"/>
      <c r="AA70" s="269"/>
      <c r="AB70" s="269"/>
      <c r="AC70" s="269"/>
      <c r="AD70" s="269"/>
      <c r="AE70" s="269"/>
      <c r="AF70" s="269"/>
      <c r="AG70" s="269"/>
      <c r="AH70" s="269"/>
      <c r="AI70" s="269"/>
      <c r="AJ70" s="269"/>
      <c r="AK70" s="269"/>
      <c r="AL70" s="269"/>
      <c r="AM70" s="269"/>
    </row>
    <row r="71" spans="2:39" s="267" customFormat="1" ht="15" customHeight="1" thickBot="1">
      <c r="B71" s="266" t="s">
        <v>406</v>
      </c>
      <c r="J71" s="83">
        <f>SUM(J67:J70)</f>
        <v>15801</v>
      </c>
      <c r="L71" s="83">
        <f>SUM(L67:L70)</f>
        <v>851</v>
      </c>
      <c r="M71" s="277"/>
      <c r="N71" s="83">
        <f>SUM(N67:N70)</f>
        <v>851</v>
      </c>
      <c r="P71" s="83">
        <f>SUM(J71:N71)</f>
        <v>17503</v>
      </c>
      <c r="R71" s="83">
        <f>SUM(R67:R70)</f>
        <v>10824</v>
      </c>
      <c r="S71" s="275"/>
      <c r="T71" s="83">
        <f>SUM(T67:T70)</f>
        <v>1702</v>
      </c>
      <c r="U71" s="275"/>
      <c r="V71" s="83">
        <f>SUM(R71:T71)</f>
        <v>12526</v>
      </c>
      <c r="W71" s="269"/>
      <c r="X71" s="269"/>
      <c r="Y71" s="269"/>
      <c r="Z71" s="269"/>
      <c r="AA71" s="269"/>
      <c r="AB71" s="269"/>
      <c r="AC71" s="269"/>
      <c r="AD71" s="269"/>
      <c r="AE71" s="269"/>
      <c r="AF71" s="269"/>
      <c r="AG71" s="269"/>
      <c r="AH71" s="269"/>
      <c r="AI71" s="269"/>
      <c r="AJ71" s="269"/>
      <c r="AK71" s="269"/>
      <c r="AL71" s="269"/>
      <c r="AM71" s="269"/>
    </row>
    <row r="72" spans="2:39" s="267" customFormat="1" ht="15" customHeight="1" thickTop="1">
      <c r="W72" s="269"/>
      <c r="X72" s="269"/>
      <c r="Y72" s="269"/>
      <c r="Z72" s="269"/>
      <c r="AA72" s="269"/>
      <c r="AB72" s="269"/>
      <c r="AC72" s="269"/>
      <c r="AD72" s="269"/>
      <c r="AE72" s="269"/>
      <c r="AF72" s="269"/>
      <c r="AG72" s="269"/>
      <c r="AH72" s="269"/>
      <c r="AI72" s="269"/>
      <c r="AJ72" s="269"/>
      <c r="AK72" s="269"/>
      <c r="AL72" s="269"/>
      <c r="AM72" s="269"/>
    </row>
    <row r="73" spans="2:39" s="267" customFormat="1" ht="15" customHeight="1">
      <c r="B73" s="267" t="s">
        <v>1017</v>
      </c>
      <c r="W73" s="269"/>
      <c r="X73" s="269"/>
      <c r="Y73" s="269"/>
      <c r="Z73" s="269"/>
      <c r="AA73" s="269"/>
      <c r="AB73" s="269"/>
      <c r="AC73" s="269"/>
      <c r="AD73" s="269"/>
      <c r="AE73" s="269"/>
      <c r="AF73" s="269"/>
      <c r="AG73" s="269"/>
      <c r="AH73" s="269"/>
      <c r="AI73" s="269"/>
      <c r="AJ73" s="269"/>
      <c r="AK73" s="269"/>
      <c r="AL73" s="269"/>
      <c r="AM73" s="269"/>
    </row>
    <row r="74" spans="2:39" s="267" customFormat="1" ht="12" customHeight="1">
      <c r="B74" s="747"/>
      <c r="W74" s="269"/>
      <c r="X74" s="269"/>
      <c r="Y74" s="269"/>
      <c r="Z74" s="269"/>
      <c r="AA74" s="269"/>
      <c r="AB74" s="269"/>
      <c r="AC74" s="269"/>
      <c r="AD74" s="269"/>
      <c r="AE74" s="269"/>
      <c r="AF74" s="269"/>
      <c r="AG74" s="269"/>
      <c r="AH74" s="269"/>
      <c r="AI74" s="269"/>
      <c r="AJ74" s="269"/>
      <c r="AK74" s="269"/>
      <c r="AL74" s="269"/>
      <c r="AM74" s="269"/>
    </row>
    <row r="75" spans="2:39" s="267" customFormat="1" ht="15" customHeight="1">
      <c r="B75" s="267" t="s">
        <v>1034</v>
      </c>
      <c r="W75" s="269"/>
      <c r="X75" s="269"/>
      <c r="Y75" s="269"/>
      <c r="Z75" s="269"/>
      <c r="AA75" s="269"/>
      <c r="AB75" s="269"/>
      <c r="AC75" s="269"/>
      <c r="AD75" s="269"/>
      <c r="AE75" s="269"/>
      <c r="AF75" s="269"/>
      <c r="AG75" s="269"/>
      <c r="AH75" s="269"/>
      <c r="AI75" s="269"/>
      <c r="AJ75" s="269"/>
      <c r="AK75" s="269"/>
      <c r="AL75" s="269"/>
      <c r="AM75" s="269"/>
    </row>
    <row r="76" spans="2:39" s="267" customFormat="1" ht="15" customHeight="1">
      <c r="C76" s="267" t="s">
        <v>1036</v>
      </c>
      <c r="W76" s="269"/>
      <c r="X76" s="269"/>
      <c r="Y76" s="269"/>
      <c r="Z76" s="269"/>
      <c r="AA76" s="269"/>
      <c r="AB76" s="269"/>
      <c r="AC76" s="269"/>
      <c r="AD76" s="269"/>
      <c r="AE76" s="269"/>
      <c r="AF76" s="269"/>
      <c r="AG76" s="269"/>
      <c r="AH76" s="269"/>
      <c r="AI76" s="269"/>
      <c r="AJ76" s="269"/>
      <c r="AK76" s="269"/>
      <c r="AL76" s="269"/>
      <c r="AM76" s="269"/>
    </row>
    <row r="77" spans="2:39" s="267" customFormat="1" ht="15" customHeight="1">
      <c r="C77" s="267" t="s">
        <v>1037</v>
      </c>
      <c r="W77" s="269"/>
      <c r="X77" s="269"/>
      <c r="Y77" s="269"/>
      <c r="Z77" s="269"/>
      <c r="AA77" s="269"/>
      <c r="AB77" s="269"/>
      <c r="AC77" s="269"/>
      <c r="AD77" s="269"/>
      <c r="AE77" s="269"/>
      <c r="AF77" s="269"/>
      <c r="AG77" s="269"/>
      <c r="AH77" s="269"/>
      <c r="AI77" s="269"/>
      <c r="AJ77" s="269"/>
      <c r="AK77" s="269"/>
      <c r="AL77" s="269"/>
      <c r="AM77" s="269"/>
    </row>
    <row r="78" spans="2:39" s="267" customFormat="1" ht="15" customHeight="1">
      <c r="C78" s="267" t="s">
        <v>1038</v>
      </c>
      <c r="W78" s="269"/>
      <c r="X78" s="269"/>
      <c r="Y78" s="269"/>
      <c r="Z78" s="269"/>
      <c r="AA78" s="269"/>
      <c r="AB78" s="269"/>
      <c r="AC78" s="269"/>
      <c r="AD78" s="269"/>
      <c r="AE78" s="269"/>
      <c r="AF78" s="269"/>
      <c r="AG78" s="269"/>
      <c r="AH78" s="269"/>
      <c r="AI78" s="269"/>
      <c r="AJ78" s="269"/>
      <c r="AK78" s="269"/>
      <c r="AL78" s="269"/>
      <c r="AM78" s="269"/>
    </row>
    <row r="79" spans="2:39" s="267" customFormat="1" ht="12.75" customHeight="1">
      <c r="W79" s="269"/>
      <c r="X79" s="269"/>
      <c r="Y79" s="269"/>
      <c r="Z79" s="269"/>
      <c r="AA79" s="269"/>
      <c r="AB79" s="269"/>
      <c r="AC79" s="269"/>
      <c r="AD79" s="269"/>
      <c r="AE79" s="269"/>
      <c r="AF79" s="269"/>
      <c r="AG79" s="269"/>
      <c r="AH79" s="269"/>
      <c r="AI79" s="269"/>
      <c r="AJ79" s="269"/>
      <c r="AK79" s="269"/>
      <c r="AL79" s="269"/>
      <c r="AM79" s="269"/>
    </row>
    <row r="80" spans="2:39" s="267" customFormat="1" ht="15" customHeight="1">
      <c r="B80" s="266" t="s">
        <v>1033</v>
      </c>
      <c r="W80" s="269"/>
      <c r="X80" s="269"/>
      <c r="Y80" s="269"/>
      <c r="Z80" s="269"/>
      <c r="AA80" s="269"/>
      <c r="AB80" s="269"/>
      <c r="AC80" s="269"/>
      <c r="AD80" s="269"/>
      <c r="AE80" s="269"/>
      <c r="AF80" s="269"/>
      <c r="AG80" s="269"/>
      <c r="AH80" s="269"/>
      <c r="AI80" s="269"/>
      <c r="AJ80" s="269"/>
      <c r="AK80" s="269"/>
      <c r="AL80" s="269"/>
      <c r="AM80" s="269"/>
    </row>
    <row r="81" spans="1:21" s="267" customFormat="1" ht="15" customHeight="1">
      <c r="B81" s="830" t="s">
        <v>569</v>
      </c>
      <c r="C81" s="830"/>
      <c r="D81" s="830"/>
      <c r="E81" s="830"/>
      <c r="F81" s="830"/>
      <c r="G81" s="830"/>
      <c r="H81" s="830"/>
      <c r="I81" s="830"/>
      <c r="J81" s="830"/>
      <c r="K81" s="830"/>
      <c r="L81" s="830"/>
      <c r="M81" s="830"/>
      <c r="N81" s="830"/>
      <c r="O81" s="830"/>
      <c r="P81" s="830"/>
      <c r="Q81" s="830"/>
      <c r="R81" s="830"/>
      <c r="S81" s="830"/>
      <c r="T81" s="830"/>
      <c r="U81" s="349"/>
    </row>
    <row r="82" spans="1:21" s="267" customFormat="1" ht="15" customHeight="1">
      <c r="R82" s="271" t="s">
        <v>21</v>
      </c>
    </row>
    <row r="83" spans="1:21" s="267" customFormat="1" ht="15" customHeight="1">
      <c r="B83" s="267" t="s">
        <v>570</v>
      </c>
      <c r="R83" s="350">
        <v>5.0999999999999996</v>
      </c>
      <c r="S83" s="351"/>
    </row>
    <row r="84" spans="1:21" s="267" customFormat="1" ht="15" customHeight="1" thickBot="1">
      <c r="B84" s="267" t="s">
        <v>571</v>
      </c>
      <c r="R84" s="352">
        <v>3.1</v>
      </c>
      <c r="S84" s="351"/>
    </row>
    <row r="85" spans="1:21" s="267" customFormat="1" ht="15" customHeight="1" thickTop="1"/>
    <row r="86" spans="1:21" s="267" customFormat="1" ht="15" customHeight="1">
      <c r="B86" s="266" t="s">
        <v>1124</v>
      </c>
    </row>
    <row r="87" spans="1:21" s="267" customFormat="1" ht="15" customHeight="1">
      <c r="B87" s="267" t="s">
        <v>1125</v>
      </c>
    </row>
    <row r="88" spans="1:21" s="267" customFormat="1" ht="15" customHeight="1">
      <c r="B88" s="267" t="s">
        <v>1126</v>
      </c>
    </row>
    <row r="89" spans="1:21" s="267" customFormat="1" ht="15" customHeight="1">
      <c r="B89" s="267" t="s">
        <v>1127</v>
      </c>
    </row>
    <row r="91" spans="1:21">
      <c r="A91" s="280"/>
      <c r="U91" s="281"/>
    </row>
    <row r="92" spans="1:21">
      <c r="U92" s="281"/>
    </row>
  </sheetData>
  <mergeCells count="5">
    <mergeCell ref="B32:T32"/>
    <mergeCell ref="B46:R46"/>
    <mergeCell ref="B50:I50"/>
    <mergeCell ref="B62:I62"/>
    <mergeCell ref="B81:T81"/>
  </mergeCells>
  <pageMargins left="0.70866141732283472" right="0.70866141732283472" top="0.74803149606299213" bottom="0.74803149606299213" header="0.31496062992125984" footer="0.31496062992125984"/>
  <pageSetup paperSize="9" scale="56" orientation="portrait" r:id="rId1"/>
  <headerFooter>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topLeftCell="A10" zoomScaleNormal="100" zoomScaleSheetLayoutView="100" workbookViewId="0">
      <selection activeCell="B20" sqref="B20"/>
    </sheetView>
  </sheetViews>
  <sheetFormatPr defaultRowHeight="15"/>
  <cols>
    <col min="1" max="1" width="4" customWidth="1"/>
    <col min="2" max="2" width="3.85546875" customWidth="1"/>
    <col min="6" max="6" width="12.140625" customWidth="1"/>
    <col min="7" max="7" width="12.85546875" customWidth="1"/>
    <col min="8" max="8" width="11.85546875" customWidth="1"/>
    <col min="9" max="9" width="12" customWidth="1"/>
    <col min="10" max="10" width="11.85546875" customWidth="1"/>
  </cols>
  <sheetData>
    <row r="1" spans="1:13" ht="23.25">
      <c r="A1" s="376" t="s">
        <v>298</v>
      </c>
      <c r="B1" s="376"/>
      <c r="C1" s="376"/>
      <c r="D1" s="376"/>
      <c r="E1" s="376"/>
      <c r="F1" s="376"/>
      <c r="G1" s="376"/>
      <c r="H1" s="376"/>
      <c r="I1" s="376"/>
      <c r="J1" s="376"/>
    </row>
    <row r="2" spans="1:13" ht="18">
      <c r="A2" s="377" t="s">
        <v>129</v>
      </c>
      <c r="B2" s="377"/>
      <c r="C2" s="377"/>
      <c r="D2" s="377"/>
      <c r="E2" s="377"/>
      <c r="F2" s="377"/>
      <c r="G2" s="377"/>
      <c r="H2" s="377"/>
      <c r="I2" s="377"/>
      <c r="J2" s="377"/>
    </row>
    <row r="3" spans="1:13" ht="15.75" thickBot="1">
      <c r="A3" s="378"/>
      <c r="B3" s="379"/>
      <c r="C3" s="378"/>
      <c r="D3" s="378"/>
      <c r="E3" s="378"/>
      <c r="F3" s="378"/>
      <c r="G3" s="378"/>
      <c r="H3" s="378"/>
      <c r="I3" s="378"/>
      <c r="J3" s="378"/>
      <c r="K3" s="378"/>
      <c r="L3" s="378"/>
    </row>
    <row r="5" spans="1:13">
      <c r="A5" s="380">
        <v>25</v>
      </c>
      <c r="B5" s="381" t="s">
        <v>1026</v>
      </c>
    </row>
    <row r="6" spans="1:13">
      <c r="A6" s="380"/>
      <c r="B6" s="382" t="s">
        <v>572</v>
      </c>
    </row>
    <row r="8" spans="1:13" ht="36.75">
      <c r="H8" s="383" t="s">
        <v>573</v>
      </c>
      <c r="I8" s="383" t="s">
        <v>574</v>
      </c>
      <c r="J8" s="383" t="s">
        <v>575</v>
      </c>
      <c r="K8" s="384" t="s">
        <v>427</v>
      </c>
      <c r="L8" s="384" t="s">
        <v>428</v>
      </c>
    </row>
    <row r="9" spans="1:13">
      <c r="K9" s="173" t="s">
        <v>399</v>
      </c>
      <c r="L9" s="173" t="s">
        <v>399</v>
      </c>
    </row>
    <row r="10" spans="1:13">
      <c r="H10" s="384" t="s">
        <v>128</v>
      </c>
      <c r="I10" s="384" t="s">
        <v>128</v>
      </c>
      <c r="J10" s="384" t="s">
        <v>128</v>
      </c>
      <c r="K10" s="384" t="s">
        <v>128</v>
      </c>
      <c r="L10" s="384" t="s">
        <v>128</v>
      </c>
      <c r="M10" s="384"/>
    </row>
    <row r="12" spans="1:13">
      <c r="A12" s="381" t="s">
        <v>576</v>
      </c>
      <c r="B12" s="382"/>
    </row>
    <row r="13" spans="1:13">
      <c r="A13" s="382"/>
      <c r="B13" s="382" t="s">
        <v>577</v>
      </c>
      <c r="H13" s="385">
        <v>685</v>
      </c>
      <c r="I13" s="385">
        <f>301+31</f>
        <v>332</v>
      </c>
      <c r="J13" s="385">
        <v>545</v>
      </c>
      <c r="K13" s="386">
        <f>SUM(H13:J13)</f>
        <v>1562</v>
      </c>
      <c r="L13" s="385">
        <v>371</v>
      </c>
    </row>
    <row r="14" spans="1:13">
      <c r="A14" s="382"/>
      <c r="B14" s="382" t="s">
        <v>578</v>
      </c>
      <c r="H14" s="385">
        <v>24</v>
      </c>
      <c r="I14" s="385">
        <v>0</v>
      </c>
      <c r="J14" s="385">
        <v>35</v>
      </c>
      <c r="K14" s="386">
        <f>SUM(H14:J14)</f>
        <v>59</v>
      </c>
      <c r="L14" s="385">
        <v>10</v>
      </c>
    </row>
    <row r="15" spans="1:13">
      <c r="H15" s="387">
        <f>SUM(H13:H14)</f>
        <v>709</v>
      </c>
      <c r="I15" s="387">
        <f t="shared" ref="I15:J15" si="0">SUM(I13:I14)</f>
        <v>332</v>
      </c>
      <c r="J15" s="387">
        <f t="shared" si="0"/>
        <v>580</v>
      </c>
      <c r="K15" s="388">
        <f>L31</f>
        <v>1621</v>
      </c>
      <c r="L15" s="387">
        <f>SUM(L13:L14)</f>
        <v>381</v>
      </c>
    </row>
    <row r="16" spans="1:13">
      <c r="H16" s="385"/>
      <c r="I16" s="385"/>
      <c r="J16" s="385"/>
      <c r="K16" s="386"/>
      <c r="L16" s="385"/>
    </row>
    <row r="17" spans="1:13">
      <c r="B17" s="382" t="s">
        <v>314</v>
      </c>
      <c r="H17" s="385">
        <f>98+650-338</f>
        <v>410</v>
      </c>
      <c r="I17" s="385">
        <f>25+800-357</f>
        <v>468</v>
      </c>
      <c r="J17" s="385">
        <f>550+338+357</f>
        <v>1245</v>
      </c>
      <c r="K17" s="386">
        <f>SUM(H17:J17)</f>
        <v>2123</v>
      </c>
      <c r="L17" s="385">
        <v>1950</v>
      </c>
    </row>
    <row r="18" spans="1:13">
      <c r="B18" s="382" t="s">
        <v>16</v>
      </c>
      <c r="H18" s="385">
        <v>41</v>
      </c>
      <c r="I18" s="385"/>
      <c r="J18" s="385">
        <f>15+62</f>
        <v>77</v>
      </c>
      <c r="K18" s="386">
        <f t="shared" ref="K18" si="1">SUM(H18:J18)</f>
        <v>118</v>
      </c>
      <c r="L18" s="385">
        <v>80</v>
      </c>
    </row>
    <row r="19" spans="1:13">
      <c r="B19" s="382" t="s">
        <v>25</v>
      </c>
      <c r="H19" s="385">
        <f>-350+338</f>
        <v>-12</v>
      </c>
      <c r="I19" s="385">
        <f>-357+357</f>
        <v>0</v>
      </c>
      <c r="J19" s="385">
        <f>-180-338-357</f>
        <v>-875</v>
      </c>
      <c r="K19" s="386">
        <f>SUM(H19:J19)</f>
        <v>-887</v>
      </c>
      <c r="L19" s="385">
        <f>+-88-840</f>
        <v>-928</v>
      </c>
    </row>
    <row r="20" spans="1:13">
      <c r="B20" s="382" t="s">
        <v>1201</v>
      </c>
      <c r="H20" s="385">
        <f>+-21-25</f>
        <v>-46</v>
      </c>
      <c r="I20" s="385">
        <f>+-16-25</f>
        <v>-41</v>
      </c>
      <c r="J20" s="385">
        <v>-25</v>
      </c>
      <c r="K20" s="386">
        <f>SUM(H20:J20)</f>
        <v>-112</v>
      </c>
      <c r="L20" s="385">
        <f>88+50</f>
        <v>138</v>
      </c>
    </row>
    <row r="21" spans="1:13">
      <c r="B21" s="382"/>
      <c r="H21" s="385"/>
      <c r="I21" s="385"/>
      <c r="J21" s="385"/>
      <c r="K21" s="386"/>
      <c r="L21" s="385"/>
    </row>
    <row r="22" spans="1:13">
      <c r="B22" s="381" t="s">
        <v>1200</v>
      </c>
      <c r="H22" s="387">
        <f>SUM(H17:H20)</f>
        <v>393</v>
      </c>
      <c r="I22" s="387">
        <f>SUM(I17:I20)</f>
        <v>427</v>
      </c>
      <c r="J22" s="387">
        <f>SUM(J17:J20)</f>
        <v>422</v>
      </c>
      <c r="K22" s="388">
        <f>SUM(K17:K20)</f>
        <v>1242</v>
      </c>
      <c r="L22" s="387">
        <f>SUM(L17:L20)</f>
        <v>1240</v>
      </c>
    </row>
    <row r="23" spans="1:13">
      <c r="B23" s="382"/>
      <c r="H23" s="385"/>
      <c r="I23" s="385"/>
      <c r="J23" s="386"/>
      <c r="K23" s="386"/>
      <c r="L23" s="385"/>
    </row>
    <row r="24" spans="1:13" ht="15.75" thickBot="1">
      <c r="A24" s="381" t="s">
        <v>406</v>
      </c>
      <c r="H24" s="389">
        <f>H15+H22</f>
        <v>1102</v>
      </c>
      <c r="I24" s="389">
        <f>I15+I22</f>
        <v>759</v>
      </c>
      <c r="J24" s="389">
        <f>J15+J22</f>
        <v>1002</v>
      </c>
      <c r="K24" s="389">
        <f>K15+K22</f>
        <v>2863</v>
      </c>
      <c r="L24" s="389">
        <f>L15+L22</f>
        <v>1621</v>
      </c>
    </row>
    <row r="25" spans="1:13" ht="15.75" thickTop="1"/>
    <row r="27" spans="1:13">
      <c r="B27" s="381" t="s">
        <v>44</v>
      </c>
      <c r="C27" s="382"/>
    </row>
    <row r="28" spans="1:13">
      <c r="B28" s="382"/>
      <c r="C28" s="382" t="s">
        <v>577</v>
      </c>
      <c r="H28" s="385">
        <f>H13+H17+H20</f>
        <v>1049</v>
      </c>
      <c r="I28" s="385">
        <f>I13+I17+I20</f>
        <v>759</v>
      </c>
      <c r="J28" s="385">
        <f t="shared" ref="J28:L28" si="2">+J24-J29</f>
        <v>972</v>
      </c>
      <c r="K28" s="386">
        <f>SUM(H28:J28)</f>
        <v>2780</v>
      </c>
      <c r="L28" s="385">
        <f t="shared" si="2"/>
        <v>1531</v>
      </c>
      <c r="M28" s="385"/>
    </row>
    <row r="29" spans="1:13">
      <c r="B29" s="382"/>
      <c r="C29" s="382" t="s">
        <v>578</v>
      </c>
      <c r="H29" s="385">
        <f>H14+H18+H19</f>
        <v>53</v>
      </c>
      <c r="I29" s="385">
        <f>I14+I18+I19</f>
        <v>0</v>
      </c>
      <c r="J29" s="385">
        <v>30</v>
      </c>
      <c r="K29" s="386">
        <f>SUM(H29:J29)</f>
        <v>83</v>
      </c>
      <c r="L29" s="385">
        <v>90</v>
      </c>
      <c r="M29" s="385"/>
    </row>
    <row r="30" spans="1:13">
      <c r="H30" s="385"/>
      <c r="I30" s="385"/>
      <c r="J30" s="386"/>
      <c r="K30" s="386"/>
      <c r="L30" s="385"/>
      <c r="M30" s="385"/>
    </row>
    <row r="31" spans="1:13" ht="15.75" thickBot="1">
      <c r="H31" s="389">
        <f>SUM(H28:H29)</f>
        <v>1102</v>
      </c>
      <c r="I31" s="389">
        <f t="shared" ref="I31:L31" si="3">SUM(I28:I29)</f>
        <v>759</v>
      </c>
      <c r="J31" s="389">
        <f t="shared" si="3"/>
        <v>1002</v>
      </c>
      <c r="K31" s="390">
        <f t="shared" si="3"/>
        <v>2863</v>
      </c>
      <c r="L31" s="389">
        <f t="shared" si="3"/>
        <v>1621</v>
      </c>
      <c r="M31" s="385"/>
    </row>
    <row r="32" spans="1:13" ht="15.75" thickTop="1"/>
    <row r="33" spans="2:12">
      <c r="B33" s="381" t="s">
        <v>579</v>
      </c>
      <c r="C33" s="382"/>
    </row>
    <row r="34" spans="2:12">
      <c r="B34" s="382"/>
      <c r="C34" s="382" t="s">
        <v>580</v>
      </c>
      <c r="H34" s="385">
        <f>+H40-H37-H38</f>
        <v>635</v>
      </c>
      <c r="I34" s="385">
        <f>+I40-I35</f>
        <v>759</v>
      </c>
      <c r="J34" s="385">
        <f>+J40-J35</f>
        <v>505</v>
      </c>
      <c r="K34" s="386">
        <f>+K31-K35-K37-K38</f>
        <v>1899</v>
      </c>
      <c r="L34" s="385">
        <f>+L40-L35-L37-L38</f>
        <v>970</v>
      </c>
    </row>
    <row r="35" spans="2:12">
      <c r="B35" s="382"/>
      <c r="C35" s="382" t="s">
        <v>581</v>
      </c>
      <c r="H35" s="385">
        <v>0</v>
      </c>
      <c r="I35" s="385">
        <v>62</v>
      </c>
      <c r="J35" s="385">
        <f>+K35-I35</f>
        <v>435</v>
      </c>
      <c r="K35" s="386">
        <v>497</v>
      </c>
      <c r="L35" s="385">
        <v>320</v>
      </c>
    </row>
    <row r="36" spans="2:12">
      <c r="B36" s="382"/>
      <c r="C36" s="382" t="s">
        <v>582</v>
      </c>
      <c r="H36" s="385">
        <v>0</v>
      </c>
      <c r="I36" s="385">
        <v>0</v>
      </c>
      <c r="J36" s="385">
        <v>0</v>
      </c>
      <c r="K36" s="386">
        <f>SUM(H36:I36)</f>
        <v>0</v>
      </c>
      <c r="L36" s="385">
        <v>0</v>
      </c>
    </row>
    <row r="37" spans="2:12">
      <c r="B37" s="382"/>
      <c r="C37" s="382" t="s">
        <v>583</v>
      </c>
      <c r="H37" s="385">
        <v>368</v>
      </c>
      <c r="I37" s="385">
        <v>0</v>
      </c>
      <c r="J37" s="385">
        <v>0</v>
      </c>
      <c r="K37" s="386">
        <v>368</v>
      </c>
      <c r="L37" s="385">
        <v>286</v>
      </c>
    </row>
    <row r="38" spans="2:12">
      <c r="B38" s="382"/>
      <c r="C38" s="382" t="s">
        <v>584</v>
      </c>
      <c r="H38" s="385">
        <v>99</v>
      </c>
      <c r="I38" s="385">
        <v>0</v>
      </c>
      <c r="J38" s="385">
        <v>0</v>
      </c>
      <c r="K38" s="386">
        <f>SUM(H38:I38)</f>
        <v>99</v>
      </c>
      <c r="L38" s="385">
        <v>45</v>
      </c>
    </row>
    <row r="39" spans="2:12">
      <c r="H39" s="385"/>
      <c r="I39" s="385"/>
      <c r="J39" s="386"/>
      <c r="K39" s="386"/>
      <c r="L39" s="385"/>
    </row>
    <row r="40" spans="2:12" ht="15.75" thickBot="1">
      <c r="H40" s="389">
        <v>1102</v>
      </c>
      <c r="I40" s="389">
        <v>821</v>
      </c>
      <c r="J40" s="389">
        <v>940</v>
      </c>
      <c r="K40" s="390">
        <f>SUM(K34:K39)</f>
        <v>2863</v>
      </c>
      <c r="L40" s="389">
        <f>L31</f>
        <v>1621</v>
      </c>
    </row>
    <row r="41" spans="2:12" ht="15.75" thickTop="1"/>
    <row r="42" spans="2:12">
      <c r="B42" s="382" t="s">
        <v>585</v>
      </c>
      <c r="C42" s="382"/>
    </row>
    <row r="43" spans="2:12">
      <c r="B43" s="382"/>
      <c r="C43" s="382" t="s">
        <v>72</v>
      </c>
      <c r="K43" s="382">
        <v>253</v>
      </c>
      <c r="L43" s="382">
        <v>253</v>
      </c>
    </row>
    <row r="44" spans="2:12">
      <c r="B44" s="382"/>
      <c r="C44" s="382" t="s">
        <v>1113</v>
      </c>
      <c r="K44" s="382">
        <v>2292</v>
      </c>
      <c r="L44" s="382">
        <v>1212</v>
      </c>
    </row>
    <row r="45" spans="2:12">
      <c r="B45" s="382"/>
      <c r="C45" s="382" t="s">
        <v>1027</v>
      </c>
      <c r="K45" s="382">
        <v>318</v>
      </c>
      <c r="L45" s="382">
        <v>156</v>
      </c>
    </row>
    <row r="46" spans="2:12" ht="15.75" thickBot="1">
      <c r="K46" s="391">
        <f>SUM(K43:K45)</f>
        <v>2863</v>
      </c>
      <c r="L46" s="391">
        <f>SUM(L43:L45)</f>
        <v>1621</v>
      </c>
    </row>
    <row r="47" spans="2:12" ht="15.75" thickTop="1"/>
    <row r="48" spans="2:12">
      <c r="B48" s="381" t="s">
        <v>588</v>
      </c>
    </row>
    <row r="49" spans="2:12">
      <c r="B49" s="392" t="s">
        <v>1020</v>
      </c>
    </row>
    <row r="50" spans="2:12">
      <c r="B50" s="392" t="s">
        <v>1021</v>
      </c>
    </row>
    <row r="52" spans="2:12">
      <c r="D52" s="381" t="s">
        <v>589</v>
      </c>
      <c r="K52" s="384" t="s">
        <v>577</v>
      </c>
      <c r="L52" s="384" t="s">
        <v>11</v>
      </c>
    </row>
    <row r="53" spans="2:12">
      <c r="K53" s="393" t="s">
        <v>325</v>
      </c>
      <c r="L53" s="393" t="s">
        <v>325</v>
      </c>
    </row>
    <row r="54" spans="2:12">
      <c r="K54" s="394"/>
      <c r="L54" s="394"/>
    </row>
    <row r="55" spans="2:12">
      <c r="D55" s="382" t="s">
        <v>590</v>
      </c>
      <c r="K55" s="385">
        <v>535</v>
      </c>
      <c r="L55" s="385">
        <v>-23</v>
      </c>
    </row>
    <row r="56" spans="2:12">
      <c r="D56" s="382" t="s">
        <v>591</v>
      </c>
      <c r="K56" s="385">
        <v>282</v>
      </c>
      <c r="L56" s="385">
        <v>-59</v>
      </c>
    </row>
    <row r="57" spans="2:12">
      <c r="K57" s="385"/>
      <c r="L57" s="385"/>
    </row>
    <row r="58" spans="2:12" ht="15.75" thickBot="1">
      <c r="K58" s="389">
        <f>SUM(K55:K57)</f>
        <v>817</v>
      </c>
      <c r="L58" s="389">
        <f>SUM(L55:L57)</f>
        <v>-82</v>
      </c>
    </row>
    <row r="59" spans="2:12" ht="15.75" thickTop="1">
      <c r="K59" s="385"/>
      <c r="L59" s="385"/>
    </row>
  </sheetData>
  <pageMargins left="0.70866141732283472" right="0.70866141732283472" top="0.74803149606299213" bottom="0.74803149606299213" header="0.31496062992125984" footer="0.31496062992125984"/>
  <pageSetup paperSize="9" scale="76" orientation="portrait" horizontalDpi="1200" verticalDpi="1200" r:id="rId1"/>
  <headerFooter>
    <oddFooter>Page &amp;P of &amp;N</oddFooter>
  </headerFooter>
  <colBreaks count="1" manualBreakCount="1">
    <brk id="12" max="1048575" man="1"/>
  </colBreaks>
  <ignoredErrors>
    <ignoredError sqref="K15"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topLeftCell="A5" zoomScaleNormal="100" zoomScaleSheetLayoutView="100" zoomScalePageLayoutView="70" workbookViewId="0">
      <selection activeCell="I27" sqref="I27"/>
    </sheetView>
  </sheetViews>
  <sheetFormatPr defaultColWidth="11.42578125" defaultRowHeight="12.75"/>
  <cols>
    <col min="1" max="1" width="3.5703125" style="418" customWidth="1"/>
    <col min="2" max="2" width="26" style="418" customWidth="1"/>
    <col min="3" max="3" width="2.28515625" style="418" customWidth="1"/>
    <col min="4" max="4" width="4.42578125" style="418" customWidth="1"/>
    <col min="5" max="5" width="8" style="418" customWidth="1"/>
    <col min="6" max="6" width="4.42578125" style="418" customWidth="1"/>
    <col min="7" max="7" width="10.28515625" style="418" customWidth="1"/>
    <col min="8" max="11" width="13.28515625" style="418" customWidth="1"/>
    <col min="12" max="12" width="5.85546875" style="418" customWidth="1"/>
    <col min="13" max="16384" width="11.42578125" style="418"/>
  </cols>
  <sheetData>
    <row r="1" spans="1:11" s="395" customFormat="1" ht="23.25">
      <c r="A1" s="395" t="s">
        <v>298</v>
      </c>
    </row>
    <row r="2" spans="1:11" s="396" customFormat="1" ht="18">
      <c r="A2" s="396" t="s">
        <v>129</v>
      </c>
    </row>
    <row r="3" spans="1:11" s="399" customFormat="1" thickBot="1">
      <c r="A3" s="397"/>
      <c r="B3" s="398"/>
      <c r="C3" s="397"/>
      <c r="D3" s="397"/>
      <c r="E3" s="397"/>
      <c r="F3" s="397"/>
      <c r="G3" s="397"/>
      <c r="H3" s="397"/>
      <c r="I3" s="397"/>
      <c r="J3" s="397"/>
      <c r="K3" s="397"/>
    </row>
    <row r="4" spans="1:11" s="399" customFormat="1" ht="12">
      <c r="B4" s="400"/>
    </row>
    <row r="5" spans="1:11" s="402" customFormat="1" ht="12">
      <c r="A5" s="401">
        <v>26</v>
      </c>
      <c r="B5" s="400" t="s">
        <v>592</v>
      </c>
      <c r="C5" s="400"/>
      <c r="D5" s="400"/>
      <c r="J5" s="403"/>
      <c r="K5" s="403"/>
    </row>
    <row r="6" spans="1:11" s="402" customFormat="1" ht="12">
      <c r="A6" s="401"/>
      <c r="B6" s="400"/>
      <c r="C6" s="400"/>
      <c r="D6" s="400"/>
      <c r="J6" s="403"/>
      <c r="K6" s="403"/>
    </row>
    <row r="7" spans="1:11" s="402" customFormat="1" ht="12">
      <c r="A7" s="401"/>
      <c r="B7" s="402" t="s">
        <v>593</v>
      </c>
      <c r="C7" s="400"/>
      <c r="D7" s="400"/>
      <c r="J7" s="403"/>
      <c r="K7" s="403"/>
    </row>
    <row r="8" spans="1:11" s="402" customFormat="1" ht="12">
      <c r="A8" s="401"/>
      <c r="B8" s="400"/>
      <c r="C8" s="400"/>
      <c r="D8" s="400"/>
      <c r="J8" s="403"/>
      <c r="K8" s="403"/>
    </row>
    <row r="9" spans="1:11" s="402" customFormat="1" ht="24">
      <c r="H9" s="404" t="s">
        <v>1028</v>
      </c>
      <c r="I9" s="404" t="s">
        <v>520</v>
      </c>
      <c r="J9" s="405" t="s">
        <v>427</v>
      </c>
      <c r="K9" s="405" t="s">
        <v>428</v>
      </c>
    </row>
    <row r="10" spans="1:11" s="402" customFormat="1" ht="12">
      <c r="H10" s="405"/>
      <c r="I10" s="405"/>
      <c r="J10" s="405" t="s">
        <v>399</v>
      </c>
      <c r="K10" s="405" t="s">
        <v>399</v>
      </c>
    </row>
    <row r="11" spans="1:11" s="402" customFormat="1" ht="12">
      <c r="H11" s="405" t="s">
        <v>128</v>
      </c>
      <c r="I11" s="405" t="s">
        <v>128</v>
      </c>
      <c r="J11" s="405" t="s">
        <v>128</v>
      </c>
      <c r="K11" s="405" t="s">
        <v>128</v>
      </c>
    </row>
    <row r="12" spans="1:11" s="402" customFormat="1" ht="12">
      <c r="H12" s="405"/>
      <c r="I12" s="405"/>
      <c r="J12" s="405"/>
      <c r="K12" s="405"/>
    </row>
    <row r="13" spans="1:11" s="402" customFormat="1" ht="12">
      <c r="B13" s="400" t="s">
        <v>576</v>
      </c>
      <c r="H13" s="406">
        <v>780</v>
      </c>
      <c r="I13" s="406">
        <f>1468-H13</f>
        <v>688</v>
      </c>
      <c r="J13" s="407">
        <f>K24</f>
        <v>1468</v>
      </c>
      <c r="K13" s="406">
        <v>839</v>
      </c>
    </row>
    <row r="14" spans="1:11" s="402" customFormat="1" ht="12">
      <c r="B14" s="400"/>
      <c r="H14" s="408"/>
      <c r="I14" s="408"/>
      <c r="J14" s="409"/>
      <c r="K14" s="408"/>
    </row>
    <row r="15" spans="1:11" s="402" customFormat="1" ht="12">
      <c r="B15" s="402" t="s">
        <v>594</v>
      </c>
      <c r="H15" s="408">
        <v>200</v>
      </c>
      <c r="I15" s="408">
        <v>0</v>
      </c>
      <c r="J15" s="409">
        <f>SUM(H15:I15)</f>
        <v>200</v>
      </c>
      <c r="K15" s="408">
        <v>0</v>
      </c>
    </row>
    <row r="16" spans="1:11" s="402" customFormat="1" ht="12">
      <c r="B16" s="402" t="s">
        <v>595</v>
      </c>
      <c r="H16" s="402">
        <v>0</v>
      </c>
      <c r="I16" s="408">
        <f>410-3</f>
        <v>407</v>
      </c>
      <c r="J16" s="409">
        <f>SUM(H16:I16)</f>
        <v>407</v>
      </c>
      <c r="K16" s="408">
        <f>29+280+350</f>
        <v>659</v>
      </c>
    </row>
    <row r="17" spans="1:11" s="402" customFormat="1" ht="12">
      <c r="B17" s="402" t="s">
        <v>16</v>
      </c>
      <c r="H17" s="408">
        <v>0</v>
      </c>
      <c r="I17" s="408">
        <v>66</v>
      </c>
      <c r="J17" s="409">
        <f>SUM(H17:I17)</f>
        <v>66</v>
      </c>
      <c r="K17" s="408">
        <v>195</v>
      </c>
    </row>
    <row r="18" spans="1:11" s="402" customFormat="1" ht="12">
      <c r="B18" s="402" t="s">
        <v>596</v>
      </c>
      <c r="H18" s="408">
        <v>-340</v>
      </c>
      <c r="I18" s="408">
        <v>0</v>
      </c>
      <c r="J18" s="409">
        <f>SUM(H18:I18)</f>
        <v>-340</v>
      </c>
      <c r="K18" s="408">
        <v>0</v>
      </c>
    </row>
    <row r="19" spans="1:11" s="402" customFormat="1" ht="12">
      <c r="B19" s="402" t="s">
        <v>25</v>
      </c>
      <c r="H19" s="408">
        <v>0</v>
      </c>
      <c r="I19" s="408">
        <f>-290-45-20</f>
        <v>-355</v>
      </c>
      <c r="J19" s="409">
        <f>SUM(H19:I19)</f>
        <v>-355</v>
      </c>
      <c r="K19" s="408">
        <f>-50-130-45</f>
        <v>-225</v>
      </c>
    </row>
    <row r="20" spans="1:11" s="402" customFormat="1" ht="12">
      <c r="B20" s="382" t="s">
        <v>1201</v>
      </c>
      <c r="H20" s="408">
        <v>0</v>
      </c>
      <c r="I20" s="408">
        <v>0</v>
      </c>
      <c r="J20" s="409">
        <v>0</v>
      </c>
      <c r="K20" s="408">
        <v>0</v>
      </c>
    </row>
    <row r="21" spans="1:11" s="402" customFormat="1" ht="12">
      <c r="H21" s="408"/>
      <c r="I21" s="408"/>
      <c r="J21" s="409"/>
      <c r="K21" s="408"/>
    </row>
    <row r="22" spans="1:11" s="402" customFormat="1" ht="12">
      <c r="B22" s="381" t="s">
        <v>1202</v>
      </c>
      <c r="H22" s="406">
        <f>SUM(H15:H20)</f>
        <v>-140</v>
      </c>
      <c r="I22" s="406">
        <f>SUM(I15:I20)</f>
        <v>118</v>
      </c>
      <c r="J22" s="407">
        <f>SUM(J15:J19)</f>
        <v>-22</v>
      </c>
      <c r="K22" s="406">
        <f>SUM(K15:K20)</f>
        <v>629</v>
      </c>
    </row>
    <row r="23" spans="1:11" s="402" customFormat="1" ht="12">
      <c r="H23" s="408"/>
      <c r="I23" s="408"/>
      <c r="J23" s="409"/>
      <c r="K23" s="408"/>
    </row>
    <row r="24" spans="1:11" s="402" customFormat="1" thickBot="1">
      <c r="B24" s="400" t="s">
        <v>406</v>
      </c>
      <c r="C24" s="400"/>
      <c r="D24" s="400"/>
      <c r="E24" s="400"/>
      <c r="F24" s="400"/>
      <c r="G24" s="400"/>
      <c r="H24" s="410">
        <f>H13+H22</f>
        <v>640</v>
      </c>
      <c r="I24" s="410">
        <f>I13+I22</f>
        <v>806</v>
      </c>
      <c r="J24" s="410">
        <f>J13+J22</f>
        <v>1446</v>
      </c>
      <c r="K24" s="410">
        <f>K13+K22</f>
        <v>1468</v>
      </c>
    </row>
    <row r="25" spans="1:11" s="402" customFormat="1" thickTop="1">
      <c r="A25" s="400"/>
      <c r="J25" s="400"/>
      <c r="K25" s="400"/>
    </row>
    <row r="26" spans="1:11" s="402" customFormat="1" ht="12">
      <c r="J26" s="409"/>
      <c r="K26" s="408"/>
    </row>
    <row r="27" spans="1:11" s="402" customFormat="1" ht="12">
      <c r="J27" s="405" t="s">
        <v>427</v>
      </c>
      <c r="K27" s="405" t="s">
        <v>428</v>
      </c>
    </row>
    <row r="28" spans="1:11" s="402" customFormat="1" ht="12">
      <c r="J28" s="405" t="s">
        <v>399</v>
      </c>
      <c r="K28" s="405" t="s">
        <v>399</v>
      </c>
    </row>
    <row r="29" spans="1:11" s="402" customFormat="1" ht="12">
      <c r="B29" s="400" t="s">
        <v>597</v>
      </c>
      <c r="J29" s="405" t="s">
        <v>128</v>
      </c>
      <c r="K29" s="405" t="s">
        <v>128</v>
      </c>
    </row>
    <row r="30" spans="1:11" s="402" customFormat="1" ht="12">
      <c r="B30" s="402" t="s">
        <v>580</v>
      </c>
      <c r="J30" s="409">
        <v>0</v>
      </c>
      <c r="K30" s="408">
        <v>0</v>
      </c>
    </row>
    <row r="31" spans="1:11" s="402" customFormat="1" ht="12">
      <c r="B31" s="402" t="s">
        <v>581</v>
      </c>
      <c r="J31" s="409">
        <v>0</v>
      </c>
      <c r="K31" s="408">
        <v>0</v>
      </c>
    </row>
    <row r="32" spans="1:11" s="402" customFormat="1" ht="12">
      <c r="B32" s="402" t="s">
        <v>582</v>
      </c>
      <c r="J32" s="409">
        <f>J36-J33-J34</f>
        <v>618</v>
      </c>
      <c r="K32" s="408">
        <f>K36-K33-K34</f>
        <v>491</v>
      </c>
    </row>
    <row r="33" spans="1:11" s="402" customFormat="1" ht="12">
      <c r="B33" s="402" t="s">
        <v>583</v>
      </c>
      <c r="J33" s="409">
        <v>65</v>
      </c>
      <c r="K33" s="408">
        <v>79</v>
      </c>
    </row>
    <row r="34" spans="1:11" s="402" customFormat="1" ht="12">
      <c r="B34" s="402" t="s">
        <v>584</v>
      </c>
      <c r="J34" s="409">
        <v>123</v>
      </c>
      <c r="K34" s="408">
        <v>118</v>
      </c>
    </row>
    <row r="35" spans="1:11" s="402" customFormat="1" ht="12">
      <c r="J35" s="409"/>
      <c r="K35" s="408"/>
    </row>
    <row r="36" spans="1:11" s="402" customFormat="1" thickBot="1">
      <c r="J36" s="411">
        <v>806</v>
      </c>
      <c r="K36" s="410">
        <v>688</v>
      </c>
    </row>
    <row r="37" spans="1:11" s="402" customFormat="1" thickTop="1">
      <c r="J37" s="403"/>
      <c r="K37" s="412"/>
    </row>
    <row r="38" spans="1:11" s="402" customFormat="1" ht="12">
      <c r="J38" s="400"/>
      <c r="K38" s="400"/>
    </row>
    <row r="39" spans="1:11" s="400" customFormat="1" ht="12">
      <c r="A39" s="413"/>
      <c r="B39" s="414"/>
      <c r="C39" s="413"/>
      <c r="D39" s="413"/>
      <c r="E39" s="413"/>
      <c r="F39" s="413"/>
      <c r="G39" s="413"/>
      <c r="H39" s="413"/>
      <c r="I39" s="415"/>
      <c r="J39" s="416"/>
      <c r="K39" s="416"/>
    </row>
    <row r="40" spans="1:11" s="400" customFormat="1" ht="12">
      <c r="A40" s="138">
        <v>27</v>
      </c>
      <c r="B40" s="138" t="s">
        <v>80</v>
      </c>
      <c r="C40" s="154"/>
      <c r="D40" s="154"/>
      <c r="E40" s="154"/>
      <c r="F40" s="154"/>
      <c r="G40" s="154"/>
      <c r="H40" s="154"/>
      <c r="I40" s="154"/>
      <c r="J40" s="154"/>
      <c r="K40" s="154"/>
    </row>
    <row r="41" spans="1:11" s="400" customFormat="1" ht="12">
      <c r="A41" s="154"/>
      <c r="B41" s="154"/>
      <c r="C41" s="154"/>
      <c r="D41" s="154"/>
      <c r="F41" s="154"/>
      <c r="G41" s="141" t="s">
        <v>20</v>
      </c>
      <c r="H41" s="143" t="s">
        <v>598</v>
      </c>
      <c r="I41" s="143" t="s">
        <v>599</v>
      </c>
      <c r="J41" s="417" t="s">
        <v>600</v>
      </c>
    </row>
    <row r="42" spans="1:11" s="400" customFormat="1" ht="12">
      <c r="A42" s="154"/>
      <c r="B42" s="154"/>
      <c r="C42" s="154"/>
      <c r="D42" s="154"/>
      <c r="E42" s="154"/>
      <c r="F42" s="154"/>
      <c r="H42" s="143" t="s">
        <v>428</v>
      </c>
      <c r="I42" s="143" t="s">
        <v>601</v>
      </c>
      <c r="J42" s="417" t="s">
        <v>427</v>
      </c>
    </row>
    <row r="43" spans="1:11" s="400" customFormat="1" ht="12">
      <c r="A43" s="154"/>
      <c r="B43" s="154" t="s">
        <v>21</v>
      </c>
      <c r="C43" s="154"/>
      <c r="D43" s="154"/>
      <c r="E43" s="154"/>
      <c r="F43" s="154"/>
      <c r="H43" s="143" t="s">
        <v>128</v>
      </c>
      <c r="I43" s="143" t="s">
        <v>128</v>
      </c>
      <c r="J43" s="143" t="s">
        <v>128</v>
      </c>
    </row>
    <row r="44" spans="1:11">
      <c r="A44" s="154"/>
      <c r="B44" s="419" t="s">
        <v>80</v>
      </c>
      <c r="C44" s="154"/>
      <c r="D44" s="154"/>
      <c r="E44" s="154"/>
      <c r="F44" s="154"/>
      <c r="H44" s="420">
        <f>'Balance Sheet'!O23</f>
        <v>15020</v>
      </c>
      <c r="I44" s="420">
        <f>I46-I45</f>
        <v>-9386</v>
      </c>
      <c r="J44" s="421">
        <f>'Balance Sheet'!K23</f>
        <v>5634</v>
      </c>
    </row>
    <row r="45" spans="1:11">
      <c r="A45" s="154"/>
      <c r="B45" s="419" t="s">
        <v>508</v>
      </c>
      <c r="C45" s="154"/>
      <c r="D45" s="154"/>
      <c r="F45" s="154"/>
      <c r="G45" s="154">
        <v>22</v>
      </c>
      <c r="H45" s="420">
        <f>-'Note 19 - 22'!Q55</f>
        <v>-96</v>
      </c>
      <c r="I45" s="420">
        <f>J45-H45</f>
        <v>-46</v>
      </c>
      <c r="J45" s="421">
        <f>-'Note 19 - 22'!M55</f>
        <v>-142</v>
      </c>
    </row>
    <row r="46" spans="1:11" ht="13.5" thickBot="1">
      <c r="A46" s="154"/>
      <c r="B46" s="154"/>
      <c r="C46" s="154"/>
      <c r="D46" s="154"/>
      <c r="E46" s="154"/>
      <c r="F46" s="154"/>
      <c r="H46" s="422">
        <f>SUM(H44:H45)</f>
        <v>14924</v>
      </c>
      <c r="I46" s="422">
        <f>J46-H46</f>
        <v>-9432</v>
      </c>
      <c r="J46" s="422">
        <f>SUM(J44:J45)</f>
        <v>5492</v>
      </c>
    </row>
    <row r="47" spans="1:11" ht="13.5" thickTop="1">
      <c r="B47" s="408"/>
    </row>
    <row r="53" spans="2:2">
      <c r="B53" s="423"/>
    </row>
  </sheetData>
  <pageMargins left="0.70866141732283472" right="0.70866141732283472" top="0.74803149606299213" bottom="0.74803149606299213" header="0.31496062992125984" footer="0.31496062992125984"/>
  <pageSetup paperSize="9" scale="77" orientation="portrait" r:id="rId1"/>
  <headerFooter>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6"/>
  <sheetViews>
    <sheetView view="pageBreakPreview" topLeftCell="A28" zoomScaleNormal="83" zoomScaleSheetLayoutView="100" zoomScalePageLayoutView="70" workbookViewId="0">
      <selection activeCell="F52" sqref="F52"/>
    </sheetView>
  </sheetViews>
  <sheetFormatPr defaultColWidth="11.42578125" defaultRowHeight="12.75"/>
  <cols>
    <col min="1" max="1" width="3.85546875" style="472" customWidth="1"/>
    <col min="2" max="2" width="0.85546875" style="471" customWidth="1"/>
    <col min="3" max="3" width="2.85546875" style="471" customWidth="1"/>
    <col min="4" max="4" width="3.28515625" style="471" customWidth="1"/>
    <col min="5" max="6" width="4.28515625" style="471" customWidth="1"/>
    <col min="7" max="7" width="4.7109375" style="471" customWidth="1"/>
    <col min="8" max="8" width="4.5703125" style="471" customWidth="1"/>
    <col min="9" max="9" width="14.7109375" style="471" customWidth="1"/>
    <col min="10" max="10" width="11.42578125" style="471" customWidth="1"/>
    <col min="11" max="11" width="2.85546875" style="471" customWidth="1"/>
    <col min="12" max="12" width="11.42578125" style="473" customWidth="1"/>
    <col min="13" max="13" width="2.85546875" style="474" customWidth="1"/>
    <col min="14" max="14" width="11.42578125" style="473" customWidth="1"/>
    <col min="15" max="15" width="2.85546875" style="471" customWidth="1"/>
    <col min="16" max="16" width="11.42578125" style="472" customWidth="1"/>
    <col min="17" max="17" width="2.85546875" style="471" customWidth="1"/>
    <col min="18" max="18" width="11.42578125" style="472" customWidth="1"/>
    <col min="19" max="16384" width="11.42578125" style="471"/>
  </cols>
  <sheetData>
    <row r="1" spans="1:18" s="424" customFormat="1" ht="30" customHeight="1">
      <c r="A1" s="424" t="s">
        <v>298</v>
      </c>
    </row>
    <row r="2" spans="1:18" s="425" customFormat="1" ht="19.5" customHeight="1">
      <c r="A2" s="425" t="s">
        <v>129</v>
      </c>
    </row>
    <row r="3" spans="1:18" s="431" customFormat="1" ht="15" customHeight="1" thickBot="1">
      <c r="A3" s="426"/>
      <c r="B3" s="427"/>
      <c r="C3" s="427"/>
      <c r="D3" s="427"/>
      <c r="E3" s="427"/>
      <c r="F3" s="427"/>
      <c r="G3" s="427"/>
      <c r="H3" s="427"/>
      <c r="I3" s="427"/>
      <c r="J3" s="427"/>
      <c r="K3" s="426"/>
      <c r="L3" s="428"/>
      <c r="M3" s="429"/>
      <c r="N3" s="428"/>
      <c r="O3" s="426"/>
      <c r="P3" s="430"/>
      <c r="Q3" s="426"/>
      <c r="R3" s="430"/>
    </row>
    <row r="4" spans="1:18" s="437" customFormat="1" ht="15" customHeight="1">
      <c r="A4" s="432"/>
      <c r="B4" s="433"/>
      <c r="C4" s="433"/>
      <c r="D4" s="433"/>
      <c r="E4" s="433"/>
      <c r="F4" s="433"/>
      <c r="G4" s="433"/>
      <c r="H4" s="433"/>
      <c r="I4" s="433"/>
      <c r="J4" s="433"/>
      <c r="K4" s="434"/>
      <c r="L4" s="435"/>
      <c r="M4" s="433"/>
      <c r="N4" s="435"/>
      <c r="O4" s="434"/>
      <c r="P4" s="436"/>
      <c r="Q4" s="434"/>
      <c r="R4" s="436"/>
    </row>
    <row r="5" spans="1:18" s="437" customFormat="1" ht="15" customHeight="1">
      <c r="A5" s="438">
        <v>28</v>
      </c>
      <c r="B5" s="439" t="s">
        <v>602</v>
      </c>
      <c r="C5" s="439"/>
      <c r="D5" s="439"/>
      <c r="L5" s="438"/>
      <c r="M5" s="440"/>
      <c r="N5" s="438"/>
      <c r="O5" s="434"/>
      <c r="P5" s="436"/>
      <c r="Q5" s="434"/>
      <c r="R5" s="436"/>
    </row>
    <row r="6" spans="1:18" s="437" customFormat="1" ht="15" customHeight="1">
      <c r="A6" s="438"/>
      <c r="B6" s="439"/>
      <c r="C6" s="439"/>
      <c r="D6" s="439"/>
      <c r="L6" s="438"/>
      <c r="M6" s="440"/>
      <c r="N6" s="438"/>
      <c r="O6" s="434"/>
      <c r="P6" s="441"/>
      <c r="Q6" s="442"/>
      <c r="R6" s="441"/>
    </row>
    <row r="7" spans="1:18" s="437" customFormat="1" ht="15" customHeight="1">
      <c r="A7" s="443"/>
      <c r="B7" s="437" t="s">
        <v>603</v>
      </c>
      <c r="L7" s="438"/>
      <c r="M7" s="439"/>
      <c r="N7" s="438"/>
      <c r="P7" s="436"/>
      <c r="Q7" s="434"/>
      <c r="R7" s="436"/>
    </row>
    <row r="8" spans="1:18" s="437" customFormat="1" ht="15" customHeight="1">
      <c r="A8" s="443"/>
      <c r="L8" s="833" t="s">
        <v>318</v>
      </c>
      <c r="M8" s="833"/>
      <c r="N8" s="833"/>
      <c r="O8" s="439"/>
      <c r="P8" s="834" t="s">
        <v>319</v>
      </c>
      <c r="Q8" s="834"/>
      <c r="R8" s="834"/>
    </row>
    <row r="9" spans="1:18" s="437" customFormat="1" ht="15" customHeight="1">
      <c r="A9" s="443"/>
      <c r="L9" s="440" t="s">
        <v>21</v>
      </c>
      <c r="M9" s="439"/>
      <c r="N9" s="440" t="s">
        <v>22</v>
      </c>
      <c r="P9" s="441" t="s">
        <v>21</v>
      </c>
      <c r="Q9" s="434"/>
      <c r="R9" s="441" t="s">
        <v>22</v>
      </c>
    </row>
    <row r="10" spans="1:18" s="437" customFormat="1" ht="15" customHeight="1">
      <c r="A10" s="443"/>
      <c r="L10" s="440" t="s">
        <v>128</v>
      </c>
      <c r="M10" s="440"/>
      <c r="N10" s="440" t="s">
        <v>128</v>
      </c>
      <c r="P10" s="441" t="s">
        <v>128</v>
      </c>
      <c r="Q10" s="441"/>
      <c r="R10" s="441" t="s">
        <v>128</v>
      </c>
    </row>
    <row r="11" spans="1:18" s="437" customFormat="1" ht="15" customHeight="1">
      <c r="A11" s="443"/>
      <c r="L11" s="438"/>
      <c r="M11" s="439"/>
      <c r="N11" s="438"/>
      <c r="P11" s="436"/>
      <c r="Q11" s="436"/>
      <c r="R11" s="436"/>
    </row>
    <row r="12" spans="1:18" s="437" customFormat="1" ht="15" customHeight="1">
      <c r="A12" s="443"/>
      <c r="B12" s="437" t="s">
        <v>604</v>
      </c>
      <c r="L12" s="440">
        <v>7652</v>
      </c>
      <c r="M12" s="439"/>
      <c r="N12" s="440">
        <v>7562</v>
      </c>
      <c r="P12" s="441">
        <v>12891</v>
      </c>
      <c r="Q12" s="434"/>
      <c r="R12" s="441">
        <v>12891</v>
      </c>
    </row>
    <row r="13" spans="1:18" s="437" customFormat="1" ht="15" customHeight="1">
      <c r="A13" s="443"/>
      <c r="L13" s="438"/>
      <c r="M13" s="439" t="s">
        <v>362</v>
      </c>
      <c r="N13" s="438"/>
      <c r="O13" s="437" t="s">
        <v>362</v>
      </c>
      <c r="P13" s="436"/>
      <c r="Q13" s="434" t="s">
        <v>362</v>
      </c>
      <c r="R13" s="436"/>
    </row>
    <row r="14" spans="1:18" s="437" customFormat="1" ht="15" customHeight="1" thickBot="1">
      <c r="A14" s="443"/>
      <c r="L14" s="444">
        <f>SUM(L12:L12)</f>
        <v>7652</v>
      </c>
      <c r="M14" s="440"/>
      <c r="N14" s="444">
        <f>SUM(N12:N12)</f>
        <v>7562</v>
      </c>
      <c r="O14" s="445"/>
      <c r="P14" s="446">
        <f>SUM(P12:P12)</f>
        <v>12891</v>
      </c>
      <c r="Q14" s="441"/>
      <c r="R14" s="446">
        <f>SUM(R12:R12)</f>
        <v>12891</v>
      </c>
    </row>
    <row r="15" spans="1:18" s="437" customFormat="1" ht="15" customHeight="1" thickTop="1">
      <c r="A15" s="443"/>
      <c r="L15" s="438"/>
      <c r="M15" s="439"/>
      <c r="N15" s="438"/>
      <c r="P15" s="436"/>
      <c r="Q15" s="434"/>
      <c r="R15" s="436"/>
    </row>
    <row r="16" spans="1:18" s="437" customFormat="1" ht="15" customHeight="1">
      <c r="A16" s="438">
        <v>29</v>
      </c>
      <c r="B16" s="439" t="s">
        <v>605</v>
      </c>
      <c r="L16" s="438"/>
      <c r="M16" s="439"/>
      <c r="N16" s="438"/>
      <c r="P16" s="436"/>
      <c r="Q16" s="434"/>
      <c r="R16" s="436"/>
    </row>
    <row r="17" spans="1:18" s="437" customFormat="1" ht="15" customHeight="1">
      <c r="A17" s="438"/>
      <c r="B17" s="439"/>
      <c r="L17" s="438"/>
      <c r="M17" s="439"/>
      <c r="N17" s="438"/>
      <c r="P17" s="436"/>
      <c r="Q17" s="434"/>
      <c r="R17" s="436"/>
    </row>
    <row r="18" spans="1:18" s="437" customFormat="1" ht="15" customHeight="1">
      <c r="A18" s="438"/>
      <c r="B18" s="439"/>
      <c r="L18" s="833" t="s">
        <v>318</v>
      </c>
      <c r="M18" s="833"/>
      <c r="N18" s="833"/>
      <c r="O18" s="439"/>
      <c r="P18" s="834" t="s">
        <v>319</v>
      </c>
      <c r="Q18" s="834"/>
      <c r="R18" s="834"/>
    </row>
    <row r="19" spans="1:18" s="437" customFormat="1" ht="15" customHeight="1">
      <c r="L19" s="440" t="s">
        <v>21</v>
      </c>
      <c r="M19" s="439"/>
      <c r="N19" s="440" t="s">
        <v>22</v>
      </c>
      <c r="P19" s="441" t="s">
        <v>21</v>
      </c>
      <c r="Q19" s="434"/>
      <c r="R19" s="441" t="s">
        <v>22</v>
      </c>
    </row>
    <row r="20" spans="1:18" s="437" customFormat="1" ht="15" customHeight="1">
      <c r="B20" s="437" t="s">
        <v>606</v>
      </c>
      <c r="L20" s="440" t="s">
        <v>128</v>
      </c>
      <c r="M20" s="440"/>
      <c r="N20" s="440" t="s">
        <v>128</v>
      </c>
      <c r="P20" s="441" t="s">
        <v>128</v>
      </c>
      <c r="Q20" s="441"/>
      <c r="R20" s="441" t="s">
        <v>128</v>
      </c>
    </row>
    <row r="21" spans="1:18" s="437" customFormat="1" ht="15" customHeight="1">
      <c r="B21" s="437" t="s">
        <v>607</v>
      </c>
      <c r="L21" s="365">
        <v>0</v>
      </c>
      <c r="M21" s="439"/>
      <c r="N21" s="447">
        <v>500</v>
      </c>
      <c r="P21" s="365">
        <v>0</v>
      </c>
      <c r="Q21" s="434"/>
      <c r="R21" s="441">
        <v>500</v>
      </c>
    </row>
    <row r="22" spans="1:18" s="437" customFormat="1" ht="15" customHeight="1">
      <c r="B22" s="437" t="s">
        <v>608</v>
      </c>
      <c r="L22" s="365">
        <v>0</v>
      </c>
      <c r="M22" s="439"/>
      <c r="N22" s="365">
        <v>0</v>
      </c>
      <c r="P22" s="441">
        <v>29</v>
      </c>
      <c r="Q22" s="434"/>
      <c r="R22" s="441">
        <v>29</v>
      </c>
    </row>
    <row r="23" spans="1:18" s="437" customFormat="1" ht="15" customHeight="1">
      <c r="B23" s="437" t="s">
        <v>609</v>
      </c>
      <c r="L23" s="447">
        <v>191</v>
      </c>
      <c r="M23" s="439"/>
      <c r="N23" s="447">
        <v>197</v>
      </c>
      <c r="P23" s="441">
        <v>198</v>
      </c>
      <c r="Q23" s="434"/>
      <c r="R23" s="441">
        <v>198</v>
      </c>
    </row>
    <row r="24" spans="1:18" s="437" customFormat="1" ht="15" customHeight="1">
      <c r="L24" s="447"/>
      <c r="M24" s="439"/>
      <c r="N24" s="447"/>
      <c r="P24" s="441"/>
      <c r="Q24" s="434"/>
      <c r="R24" s="441"/>
    </row>
    <row r="25" spans="1:18" s="437" customFormat="1" ht="15" customHeight="1" thickBot="1">
      <c r="L25" s="444">
        <f>SUM(L21:L24)</f>
        <v>191</v>
      </c>
      <c r="M25" s="433"/>
      <c r="N25" s="444">
        <f>SUM(N21:N24)</f>
        <v>697</v>
      </c>
      <c r="P25" s="446">
        <f>SUM(P21:P24)</f>
        <v>227</v>
      </c>
      <c r="Q25" s="434"/>
      <c r="R25" s="446">
        <f>SUM(R21:R24)</f>
        <v>727</v>
      </c>
    </row>
    <row r="26" spans="1:18" s="437" customFormat="1" ht="15" customHeight="1" thickTop="1">
      <c r="K26" s="448"/>
      <c r="L26" s="438"/>
      <c r="M26" s="449"/>
      <c r="N26" s="438"/>
      <c r="P26" s="436"/>
      <c r="Q26" s="434"/>
      <c r="R26" s="436"/>
    </row>
    <row r="27" spans="1:18" s="437" customFormat="1" ht="27" customHeight="1">
      <c r="B27" s="835" t="s">
        <v>610</v>
      </c>
      <c r="C27" s="835"/>
      <c r="D27" s="835"/>
      <c r="E27" s="835"/>
      <c r="F27" s="835"/>
      <c r="G27" s="835"/>
      <c r="H27" s="835"/>
      <c r="I27" s="835"/>
      <c r="J27" s="835"/>
      <c r="K27" s="835"/>
      <c r="L27" s="835"/>
      <c r="M27" s="835"/>
      <c r="N27" s="835"/>
      <c r="O27" s="835"/>
      <c r="P27" s="835"/>
      <c r="Q27" s="835"/>
      <c r="R27" s="835"/>
    </row>
    <row r="28" spans="1:18" s="437" customFormat="1" ht="15" customHeight="1">
      <c r="L28" s="438"/>
      <c r="M28" s="439"/>
      <c r="N28" s="438"/>
      <c r="P28" s="443"/>
      <c r="R28" s="443"/>
    </row>
    <row r="29" spans="1:18" s="439" customFormat="1" ht="12">
      <c r="A29" s="438">
        <v>30</v>
      </c>
      <c r="B29" s="439" t="s">
        <v>611</v>
      </c>
      <c r="L29" s="438"/>
      <c r="N29" s="438"/>
      <c r="P29" s="438"/>
      <c r="R29" s="438"/>
    </row>
    <row r="30" spans="1:18" s="437" customFormat="1" ht="12">
      <c r="A30" s="443"/>
      <c r="L30" s="833"/>
      <c r="M30" s="833"/>
      <c r="N30" s="833"/>
      <c r="O30" s="439"/>
      <c r="P30" s="834"/>
      <c r="Q30" s="834"/>
      <c r="R30" s="834"/>
    </row>
    <row r="31" spans="1:18" s="437" customFormat="1" ht="12">
      <c r="A31" s="443"/>
      <c r="B31" s="437" t="s">
        <v>612</v>
      </c>
      <c r="L31" s="438"/>
      <c r="M31" s="439"/>
      <c r="N31" s="438"/>
      <c r="P31" s="443"/>
      <c r="R31" s="443"/>
    </row>
    <row r="32" spans="1:18" s="437" customFormat="1" ht="12">
      <c r="A32" s="443"/>
      <c r="L32" s="438"/>
      <c r="M32" s="439"/>
      <c r="N32" s="438"/>
      <c r="P32" s="443"/>
      <c r="R32" s="443"/>
    </row>
    <row r="33" spans="1:20" s="437" customFormat="1" ht="12">
      <c r="A33" s="443"/>
      <c r="J33" s="831" t="s">
        <v>318</v>
      </c>
      <c r="K33" s="831"/>
      <c r="L33" s="831"/>
      <c r="M33" s="831"/>
      <c r="N33" s="831"/>
      <c r="O33" s="831"/>
      <c r="P33" s="831"/>
    </row>
    <row r="34" spans="1:20" s="437" customFormat="1" ht="24">
      <c r="A34" s="443"/>
      <c r="J34" s="450" t="s">
        <v>613</v>
      </c>
      <c r="K34" s="451"/>
      <c r="L34" s="450" t="s">
        <v>396</v>
      </c>
      <c r="M34" s="451"/>
      <c r="N34" s="452" t="s">
        <v>614</v>
      </c>
      <c r="O34" s="451"/>
      <c r="P34" s="453" t="s">
        <v>399</v>
      </c>
      <c r="R34" s="454" t="s">
        <v>319</v>
      </c>
    </row>
    <row r="35" spans="1:20" s="437" customFormat="1" ht="12">
      <c r="A35" s="443"/>
      <c r="J35" s="440" t="s">
        <v>128</v>
      </c>
      <c r="K35" s="451"/>
      <c r="L35" s="440" t="s">
        <v>128</v>
      </c>
      <c r="M35" s="451"/>
      <c r="N35" s="440" t="s">
        <v>128</v>
      </c>
      <c r="O35" s="451"/>
      <c r="P35" s="440" t="s">
        <v>128</v>
      </c>
      <c r="R35" s="440" t="s">
        <v>128</v>
      </c>
    </row>
    <row r="36" spans="1:20" s="437" customFormat="1" ht="12">
      <c r="A36" s="443"/>
      <c r="J36" s="440"/>
      <c r="K36" s="451"/>
      <c r="L36" s="440"/>
      <c r="M36" s="451"/>
      <c r="N36" s="440"/>
      <c r="O36" s="451"/>
      <c r="P36" s="440"/>
    </row>
    <row r="37" spans="1:20" s="437" customFormat="1" ht="12">
      <c r="A37" s="443"/>
      <c r="B37" s="439" t="s">
        <v>615</v>
      </c>
      <c r="J37" s="450">
        <v>55</v>
      </c>
      <c r="K37" s="453"/>
      <c r="L37" s="450">
        <v>200</v>
      </c>
      <c r="M37" s="453"/>
      <c r="N37" s="453">
        <v>171</v>
      </c>
      <c r="O37" s="451"/>
      <c r="P37" s="453">
        <f>SUM(J37:O37)</f>
        <v>426</v>
      </c>
      <c r="R37" s="437">
        <v>342</v>
      </c>
    </row>
    <row r="38" spans="1:20" s="437" customFormat="1" ht="12">
      <c r="A38" s="443"/>
      <c r="J38" s="455"/>
      <c r="K38" s="451"/>
      <c r="L38" s="455"/>
      <c r="M38" s="451"/>
      <c r="N38" s="452"/>
      <c r="O38" s="451"/>
      <c r="P38" s="452"/>
    </row>
    <row r="39" spans="1:20" s="437" customFormat="1" ht="12">
      <c r="A39" s="443"/>
      <c r="B39" s="439" t="s">
        <v>616</v>
      </c>
      <c r="J39" s="438"/>
      <c r="K39" s="439"/>
      <c r="L39" s="438"/>
      <c r="N39" s="443"/>
      <c r="P39" s="443"/>
    </row>
    <row r="40" spans="1:20" s="437" customFormat="1" ht="12">
      <c r="A40" s="443"/>
      <c r="B40" s="437" t="s">
        <v>617</v>
      </c>
      <c r="J40" s="440">
        <v>70</v>
      </c>
      <c r="K40" s="440"/>
      <c r="L40" s="440">
        <v>150</v>
      </c>
      <c r="M40" s="445"/>
      <c r="N40" s="440">
        <v>120</v>
      </c>
      <c r="O40" s="440"/>
      <c r="P40" s="440">
        <f>SUM(J40:N40)</f>
        <v>340</v>
      </c>
      <c r="R40" s="437">
        <v>380</v>
      </c>
    </row>
    <row r="41" spans="1:20" s="437" customFormat="1" ht="12">
      <c r="A41" s="443"/>
      <c r="B41" s="437" t="s">
        <v>618</v>
      </c>
      <c r="J41" s="440">
        <v>280</v>
      </c>
      <c r="K41" s="440"/>
      <c r="L41" s="440">
        <v>500</v>
      </c>
      <c r="M41" s="445"/>
      <c r="N41" s="440">
        <v>60</v>
      </c>
      <c r="O41" s="440"/>
      <c r="P41" s="440">
        <f>SUM(J41:O41)</f>
        <v>840</v>
      </c>
      <c r="R41" s="437">
        <v>750</v>
      </c>
    </row>
    <row r="42" spans="1:20" s="437" customFormat="1" ht="12">
      <c r="A42" s="443"/>
      <c r="B42" s="437" t="s">
        <v>619</v>
      </c>
      <c r="J42" s="456">
        <v>140</v>
      </c>
      <c r="K42" s="440"/>
      <c r="L42" s="365">
        <v>0</v>
      </c>
      <c r="M42" s="445"/>
      <c r="N42" s="365">
        <v>0</v>
      </c>
      <c r="O42" s="440"/>
      <c r="P42" s="440">
        <f>SUM(J42:O42)</f>
        <v>140</v>
      </c>
      <c r="R42" s="437">
        <v>210</v>
      </c>
    </row>
    <row r="43" spans="1:20" s="437" customFormat="1" thickBot="1">
      <c r="A43" s="443"/>
      <c r="B43" s="439" t="s">
        <v>620</v>
      </c>
      <c r="J43" s="457">
        <f>SUM(J40:J42)</f>
        <v>490</v>
      </c>
      <c r="L43" s="457">
        <f>SUM(L40:L42)</f>
        <v>650</v>
      </c>
      <c r="M43" s="439"/>
      <c r="N43" s="457">
        <f>SUM(N40:N42)</f>
        <v>180</v>
      </c>
      <c r="P43" s="457">
        <f>SUM(P40:P42)</f>
        <v>1320</v>
      </c>
      <c r="R43" s="458">
        <f>SUM(R40:R42)</f>
        <v>1340</v>
      </c>
    </row>
    <row r="44" spans="1:20" s="437" customFormat="1" thickTop="1">
      <c r="A44" s="443"/>
      <c r="B44" s="439"/>
      <c r="J44" s="433"/>
      <c r="L44" s="433"/>
      <c r="M44" s="439"/>
      <c r="N44" s="433"/>
      <c r="P44" s="433"/>
      <c r="R44" s="434"/>
    </row>
    <row r="45" spans="1:20" s="437" customFormat="1" ht="12">
      <c r="A45" s="443"/>
      <c r="B45" s="439"/>
      <c r="J45" s="433"/>
      <c r="L45" s="433"/>
      <c r="M45" s="439"/>
      <c r="N45" s="433"/>
      <c r="P45" s="433"/>
      <c r="R45" s="434"/>
    </row>
    <row r="46" spans="1:20" s="437" customFormat="1" ht="12">
      <c r="A46" s="489">
        <v>31</v>
      </c>
      <c r="B46" s="490" t="s">
        <v>621</v>
      </c>
      <c r="C46" s="490"/>
      <c r="D46" s="491"/>
      <c r="E46" s="492"/>
      <c r="F46" s="493"/>
      <c r="G46" s="493"/>
      <c r="H46" s="493"/>
      <c r="I46" s="493"/>
      <c r="J46" s="493"/>
      <c r="K46" s="493"/>
      <c r="L46" s="494"/>
      <c r="M46" s="494"/>
      <c r="N46" s="494"/>
      <c r="O46" s="493"/>
      <c r="P46" s="493"/>
      <c r="Q46" s="493"/>
      <c r="R46" s="493"/>
      <c r="S46" s="493"/>
      <c r="T46" s="493"/>
    </row>
    <row r="47" spans="1:20" s="437" customFormat="1" ht="12">
      <c r="A47" s="491"/>
      <c r="B47" s="491"/>
      <c r="C47" s="491"/>
      <c r="D47" s="491"/>
      <c r="E47" s="492"/>
      <c r="F47" s="493"/>
      <c r="G47" s="493"/>
      <c r="H47" s="493"/>
      <c r="I47" s="493"/>
      <c r="J47" s="493"/>
      <c r="K47" s="493"/>
      <c r="L47" s="494"/>
      <c r="M47" s="494"/>
      <c r="N47" s="494"/>
      <c r="O47" s="493"/>
      <c r="P47" s="493"/>
      <c r="Q47" s="493"/>
      <c r="R47" s="493"/>
      <c r="S47" s="493"/>
      <c r="T47" s="493"/>
    </row>
    <row r="48" spans="1:20" s="437" customFormat="1" ht="12" customHeight="1">
      <c r="A48" s="443"/>
      <c r="B48" s="437" t="s">
        <v>1022</v>
      </c>
      <c r="C48" s="439"/>
      <c r="J48" s="433"/>
      <c r="L48" s="433"/>
      <c r="M48" s="439"/>
      <c r="N48" s="433"/>
      <c r="P48" s="433"/>
      <c r="R48" s="434"/>
      <c r="T48" s="443"/>
    </row>
    <row r="49" spans="1:21" s="437" customFormat="1" ht="12">
      <c r="A49" s="443"/>
      <c r="B49" s="437" t="s">
        <v>1023</v>
      </c>
      <c r="J49" s="433"/>
      <c r="L49" s="433"/>
      <c r="M49" s="439"/>
      <c r="N49" s="433"/>
      <c r="P49" s="433"/>
      <c r="R49" s="434"/>
      <c r="T49" s="443"/>
    </row>
    <row r="50" spans="1:21" s="437" customFormat="1" ht="12">
      <c r="A50" s="443"/>
      <c r="B50" s="437" t="s">
        <v>1024</v>
      </c>
      <c r="J50" s="433"/>
      <c r="L50" s="433"/>
      <c r="M50" s="439"/>
      <c r="N50" s="433"/>
      <c r="P50" s="433"/>
      <c r="R50" s="434"/>
      <c r="T50" s="443"/>
    </row>
    <row r="51" spans="1:21" s="437" customFormat="1" ht="12">
      <c r="A51" s="443"/>
      <c r="B51" s="439"/>
      <c r="J51" s="433"/>
      <c r="L51" s="433"/>
      <c r="M51" s="439"/>
      <c r="N51" s="433"/>
      <c r="P51" s="433"/>
      <c r="R51" s="434"/>
      <c r="T51" s="443"/>
    </row>
    <row r="52" spans="1:21" s="439" customFormat="1" ht="12">
      <c r="A52" s="438"/>
      <c r="C52" s="459"/>
      <c r="D52" s="459"/>
      <c r="E52" s="459"/>
      <c r="F52" s="459"/>
      <c r="G52" s="459"/>
      <c r="H52" s="459"/>
      <c r="I52" s="459"/>
      <c r="J52" s="459"/>
      <c r="K52" s="459"/>
      <c r="L52" s="460"/>
      <c r="M52" s="459"/>
      <c r="N52" s="461"/>
      <c r="O52" s="459"/>
      <c r="P52" s="459"/>
      <c r="Q52" s="459"/>
      <c r="R52" s="461"/>
      <c r="S52" s="437"/>
    </row>
    <row r="53" spans="1:21" s="437" customFormat="1" ht="12">
      <c r="A53" s="443"/>
      <c r="C53" s="462"/>
      <c r="D53" s="462"/>
      <c r="E53" s="462"/>
      <c r="F53" s="462"/>
      <c r="G53" s="462"/>
      <c r="H53" s="462"/>
      <c r="I53" s="462"/>
      <c r="J53" s="462"/>
      <c r="K53" s="462"/>
      <c r="L53" s="461"/>
      <c r="M53" s="459"/>
      <c r="N53" s="461"/>
      <c r="O53" s="462"/>
      <c r="P53" s="463"/>
      <c r="Q53" s="462"/>
      <c r="R53" s="463"/>
      <c r="T53" s="832"/>
      <c r="U53" s="832"/>
    </row>
    <row r="54" spans="1:21" s="437" customFormat="1" ht="12">
      <c r="A54" s="443"/>
      <c r="C54" s="462"/>
      <c r="D54" s="462"/>
      <c r="E54" s="462"/>
      <c r="F54" s="462"/>
      <c r="G54" s="462"/>
      <c r="H54" s="462"/>
      <c r="I54" s="462"/>
      <c r="J54" s="462"/>
      <c r="K54" s="462"/>
      <c r="L54" s="464"/>
      <c r="M54" s="459"/>
      <c r="N54" s="461"/>
      <c r="O54" s="462"/>
      <c r="P54" s="463"/>
      <c r="Q54" s="462"/>
      <c r="R54" s="463"/>
    </row>
    <row r="55" spans="1:21" s="437" customFormat="1" ht="12">
      <c r="A55" s="443"/>
      <c r="C55" s="462"/>
      <c r="D55" s="462"/>
      <c r="E55" s="462"/>
      <c r="F55" s="462"/>
      <c r="G55" s="462"/>
      <c r="H55" s="462"/>
      <c r="I55" s="462"/>
      <c r="J55" s="462"/>
      <c r="K55" s="462"/>
      <c r="L55" s="464"/>
      <c r="M55" s="459"/>
      <c r="N55" s="461"/>
      <c r="O55" s="462"/>
      <c r="P55" s="463"/>
      <c r="Q55" s="462"/>
      <c r="R55" s="463"/>
    </row>
    <row r="56" spans="1:21" s="437" customFormat="1" ht="12">
      <c r="A56" s="443"/>
      <c r="C56" s="462"/>
      <c r="D56" s="462"/>
      <c r="E56" s="462"/>
      <c r="F56" s="462"/>
      <c r="G56" s="462"/>
      <c r="H56" s="462"/>
      <c r="I56" s="462"/>
      <c r="J56" s="462"/>
      <c r="K56" s="462"/>
      <c r="L56" s="464"/>
      <c r="M56" s="459"/>
      <c r="N56" s="461"/>
      <c r="O56" s="462"/>
      <c r="P56" s="463"/>
      <c r="Q56" s="462"/>
      <c r="R56" s="463"/>
    </row>
    <row r="57" spans="1:21" s="437" customFormat="1" ht="12">
      <c r="A57" s="443"/>
      <c r="C57" s="462"/>
      <c r="D57" s="462"/>
      <c r="E57" s="462"/>
      <c r="F57" s="462"/>
      <c r="G57" s="462"/>
      <c r="H57" s="462"/>
      <c r="I57" s="462"/>
      <c r="J57" s="462"/>
      <c r="K57" s="462"/>
      <c r="L57" s="461"/>
      <c r="M57" s="459"/>
      <c r="N57" s="461"/>
      <c r="O57" s="462"/>
      <c r="P57" s="463"/>
      <c r="Q57" s="462"/>
      <c r="R57" s="463"/>
    </row>
    <row r="58" spans="1:21" s="437" customFormat="1" ht="12">
      <c r="A58" s="443"/>
      <c r="L58" s="438"/>
      <c r="M58" s="439"/>
      <c r="N58" s="438"/>
      <c r="P58" s="443"/>
      <c r="R58" s="443"/>
    </row>
    <row r="59" spans="1:21" s="431" customFormat="1" ht="16.5" customHeight="1">
      <c r="B59" s="437"/>
    </row>
    <row r="60" spans="1:21" s="431" customFormat="1" ht="16.5" customHeight="1">
      <c r="B60" s="437"/>
    </row>
    <row r="61" spans="1:21" s="431" customFormat="1" ht="16.5" customHeight="1">
      <c r="B61" s="437"/>
    </row>
    <row r="62" spans="1:21" s="431" customFormat="1" ht="16.5" customHeight="1">
      <c r="B62" s="437"/>
    </row>
    <row r="63" spans="1:21" s="431" customFormat="1" ht="16.5" customHeight="1">
      <c r="B63" s="437"/>
    </row>
    <row r="64" spans="1:21" s="431" customFormat="1" ht="16.5" customHeight="1">
      <c r="B64" s="437"/>
    </row>
    <row r="65" spans="1:18" s="431" customFormat="1" ht="16.5" customHeight="1">
      <c r="B65" s="437"/>
    </row>
    <row r="66" spans="1:18" s="431" customFormat="1" ht="11.25">
      <c r="L66" s="465"/>
      <c r="M66" s="466"/>
      <c r="N66" s="467"/>
      <c r="O66" s="468"/>
      <c r="P66" s="469"/>
      <c r="Q66" s="468"/>
      <c r="R66" s="470"/>
    </row>
    <row r="67" spans="1:18" s="431" customFormat="1" ht="11.25">
      <c r="L67" s="465"/>
      <c r="M67" s="466"/>
      <c r="N67" s="467"/>
      <c r="O67" s="468"/>
      <c r="P67" s="469"/>
      <c r="Q67" s="468"/>
      <c r="R67" s="470"/>
    </row>
    <row r="68" spans="1:18" s="431" customFormat="1" ht="11.25">
      <c r="L68" s="465"/>
      <c r="M68" s="466"/>
      <c r="N68" s="467"/>
      <c r="O68" s="468"/>
      <c r="P68" s="469"/>
      <c r="Q68" s="468"/>
      <c r="R68" s="470"/>
    </row>
    <row r="69" spans="1:18" s="431" customFormat="1" ht="11.25">
      <c r="L69" s="465"/>
      <c r="M69" s="466"/>
      <c r="N69" s="467"/>
      <c r="O69" s="468"/>
      <c r="P69" s="469"/>
      <c r="Q69" s="468"/>
      <c r="R69" s="470"/>
    </row>
    <row r="70" spans="1:18" s="431" customFormat="1" ht="11.25">
      <c r="L70" s="465"/>
      <c r="M70" s="466"/>
      <c r="N70" s="467"/>
      <c r="O70" s="468"/>
      <c r="P70" s="469"/>
      <c r="Q70" s="468"/>
      <c r="R70" s="470"/>
    </row>
    <row r="71" spans="1:18" s="431" customFormat="1" ht="11.25">
      <c r="L71" s="465"/>
      <c r="M71" s="466"/>
      <c r="N71" s="467"/>
      <c r="O71" s="468"/>
      <c r="P71" s="469"/>
      <c r="Q71" s="468"/>
      <c r="R71" s="470"/>
    </row>
    <row r="72" spans="1:18" s="431" customFormat="1" ht="11.25">
      <c r="L72" s="465"/>
      <c r="M72" s="466"/>
      <c r="N72" s="467"/>
      <c r="O72" s="468"/>
      <c r="P72" s="469"/>
      <c r="Q72" s="468"/>
      <c r="R72" s="470"/>
    </row>
    <row r="73" spans="1:18" s="431" customFormat="1">
      <c r="I73" s="471"/>
      <c r="J73" s="471"/>
      <c r="K73" s="471"/>
      <c r="L73" s="465"/>
      <c r="M73" s="466"/>
      <c r="N73" s="467"/>
      <c r="O73" s="468"/>
      <c r="P73" s="469"/>
      <c r="Q73" s="468"/>
      <c r="R73" s="470"/>
    </row>
    <row r="74" spans="1:18" s="431" customFormat="1" ht="11.25">
      <c r="L74" s="465"/>
      <c r="M74" s="466"/>
      <c r="N74" s="467"/>
      <c r="O74" s="468"/>
      <c r="P74" s="469"/>
      <c r="Q74" s="468"/>
      <c r="R74" s="470"/>
    </row>
    <row r="75" spans="1:18" s="431" customFormat="1" ht="11.25">
      <c r="L75" s="465"/>
      <c r="M75" s="466"/>
      <c r="N75" s="467"/>
      <c r="O75" s="468"/>
      <c r="P75" s="469"/>
      <c r="Q75" s="468"/>
      <c r="R75" s="470"/>
    </row>
    <row r="76" spans="1:18" s="431" customFormat="1" ht="11.25">
      <c r="B76" s="466"/>
      <c r="L76" s="465"/>
      <c r="M76" s="466"/>
      <c r="N76" s="467"/>
      <c r="O76" s="468"/>
      <c r="P76" s="469"/>
      <c r="Q76" s="468"/>
      <c r="R76" s="470"/>
    </row>
    <row r="77" spans="1:18">
      <c r="N77" s="475"/>
      <c r="O77" s="476"/>
      <c r="P77" s="477"/>
      <c r="Q77" s="476"/>
      <c r="R77" s="477"/>
    </row>
    <row r="79" spans="1:18">
      <c r="B79" s="431"/>
      <c r="D79" s="431"/>
    </row>
    <row r="80" spans="1:18">
      <c r="A80" s="478"/>
      <c r="B80" s="431"/>
      <c r="C80" s="431"/>
      <c r="D80" s="431"/>
      <c r="E80" s="431"/>
      <c r="F80" s="431"/>
      <c r="G80" s="431"/>
      <c r="H80" s="431"/>
      <c r="I80" s="431"/>
      <c r="J80" s="431"/>
      <c r="K80" s="431"/>
      <c r="L80" s="466"/>
      <c r="M80" s="466"/>
      <c r="N80" s="466"/>
      <c r="O80" s="479"/>
      <c r="P80" s="431"/>
      <c r="Q80" s="431"/>
      <c r="R80" s="431"/>
    </row>
    <row r="96" spans="1:18">
      <c r="A96" s="478"/>
      <c r="B96" s="431"/>
      <c r="C96" s="431"/>
      <c r="D96" s="431"/>
      <c r="E96" s="431"/>
      <c r="F96" s="431"/>
      <c r="G96" s="431"/>
      <c r="H96" s="431"/>
      <c r="I96" s="431"/>
      <c r="J96" s="431"/>
      <c r="K96" s="431"/>
      <c r="L96" s="466"/>
      <c r="M96" s="466"/>
      <c r="N96" s="466"/>
      <c r="O96" s="479"/>
      <c r="P96" s="431"/>
      <c r="Q96" s="431"/>
      <c r="R96" s="431"/>
    </row>
  </sheetData>
  <mergeCells count="9">
    <mergeCell ref="J33:P33"/>
    <mergeCell ref="T53:U53"/>
    <mergeCell ref="L8:N8"/>
    <mergeCell ref="P8:R8"/>
    <mergeCell ref="L18:N18"/>
    <mergeCell ref="P18:R18"/>
    <mergeCell ref="B27:R27"/>
    <mergeCell ref="L30:N30"/>
    <mergeCell ref="P30:R30"/>
  </mergeCells>
  <pageMargins left="0.70866141732283472" right="0.70866141732283472" top="0.74803149606299213" bottom="0.74803149606299213" header="0.31496062992125984" footer="0.31496062992125984"/>
  <pageSetup paperSize="9" scale="70" orientation="portrait" r:id="rId1"/>
  <headerFooter>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view="pageBreakPreview" zoomScale="60" zoomScaleNormal="100" zoomScalePageLayoutView="70" workbookViewId="0">
      <selection activeCell="S35" sqref="S35"/>
    </sheetView>
  </sheetViews>
  <sheetFormatPr defaultColWidth="11.42578125" defaultRowHeight="12"/>
  <cols>
    <col min="1" max="1" width="3.7109375" style="497" customWidth="1"/>
    <col min="2" max="2" width="2" style="497" customWidth="1"/>
    <col min="3" max="6" width="4.42578125" style="497" customWidth="1"/>
    <col min="7" max="7" width="6" style="497" customWidth="1"/>
    <col min="8" max="8" width="19.140625" style="497" customWidth="1"/>
    <col min="9" max="9" width="10.85546875" style="497" customWidth="1"/>
    <col min="10" max="10" width="2.28515625" style="497" customWidth="1"/>
    <col min="11" max="11" width="10.85546875" style="497" customWidth="1"/>
    <col min="12" max="12" width="2.28515625" style="497" customWidth="1"/>
    <col min="13" max="13" width="10.85546875" style="497" customWidth="1"/>
    <col min="14" max="14" width="2.28515625" style="497" customWidth="1"/>
    <col min="15" max="15" width="10.85546875" style="497" customWidth="1"/>
    <col min="16" max="16" width="1.7109375" style="497" customWidth="1"/>
    <col min="17" max="17" width="8.7109375" style="497" customWidth="1"/>
    <col min="18" max="16384" width="11.42578125" style="497"/>
  </cols>
  <sheetData>
    <row r="1" spans="1:17" ht="21.75" customHeight="1">
      <c r="A1" s="424" t="s">
        <v>298</v>
      </c>
    </row>
    <row r="2" spans="1:17" ht="21.75" customHeight="1">
      <c r="A2" s="425" t="s">
        <v>129</v>
      </c>
      <c r="Q2" s="498"/>
    </row>
    <row r="4" spans="1:17" ht="0.75" customHeight="1" thickBot="1">
      <c r="A4" s="499"/>
      <c r="B4" s="500"/>
      <c r="C4" s="501"/>
      <c r="D4" s="501"/>
      <c r="E4" s="501"/>
      <c r="F4" s="501"/>
      <c r="G4" s="501"/>
      <c r="H4" s="501"/>
      <c r="I4" s="501"/>
      <c r="J4" s="501"/>
      <c r="K4" s="501"/>
      <c r="L4" s="501"/>
      <c r="M4" s="502"/>
      <c r="N4" s="502"/>
      <c r="O4" s="503"/>
      <c r="P4" s="503"/>
      <c r="Q4" s="502"/>
    </row>
    <row r="5" spans="1:17" ht="27.75" customHeight="1">
      <c r="A5" s="504">
        <v>32</v>
      </c>
      <c r="B5" s="505" t="s">
        <v>622</v>
      </c>
      <c r="M5" s="506"/>
      <c r="N5" s="506"/>
      <c r="O5" s="156"/>
      <c r="P5" s="156"/>
      <c r="Q5" s="156"/>
    </row>
    <row r="6" spans="1:17" ht="6" customHeight="1"/>
    <row r="7" spans="1:17">
      <c r="B7" s="507" t="s">
        <v>623</v>
      </c>
      <c r="C7" s="508"/>
      <c r="D7" s="508"/>
      <c r="E7" s="508"/>
      <c r="F7" s="508"/>
      <c r="G7" s="508"/>
      <c r="H7" s="508"/>
      <c r="I7" s="508"/>
      <c r="J7" s="508"/>
      <c r="K7" s="508"/>
      <c r="L7" s="508"/>
      <c r="M7" s="508"/>
      <c r="N7" s="508"/>
      <c r="O7" s="508"/>
      <c r="P7" s="508"/>
      <c r="Q7" s="508"/>
    </row>
    <row r="8" spans="1:17">
      <c r="B8" s="507" t="s">
        <v>624</v>
      </c>
      <c r="C8" s="508"/>
      <c r="D8" s="508"/>
      <c r="E8" s="508"/>
      <c r="F8" s="508"/>
      <c r="G8" s="508"/>
      <c r="H8" s="508"/>
      <c r="I8" s="508"/>
      <c r="J8" s="508"/>
      <c r="K8" s="508"/>
      <c r="L8" s="508"/>
      <c r="M8" s="508"/>
      <c r="N8" s="508"/>
      <c r="O8" s="508"/>
      <c r="P8" s="508"/>
      <c r="Q8" s="508"/>
    </row>
    <row r="9" spans="1:17" ht="8.25" customHeight="1"/>
    <row r="10" spans="1:17">
      <c r="B10" s="505" t="s">
        <v>625</v>
      </c>
      <c r="H10" s="505" t="s">
        <v>626</v>
      </c>
      <c r="M10" s="505" t="s">
        <v>627</v>
      </c>
      <c r="N10" s="505"/>
      <c r="Q10" s="505" t="s">
        <v>628</v>
      </c>
    </row>
    <row r="11" spans="1:17" ht="6" customHeight="1"/>
    <row r="12" spans="1:17">
      <c r="B12" s="497" t="s">
        <v>629</v>
      </c>
      <c r="H12" s="507" t="s">
        <v>630</v>
      </c>
      <c r="K12" s="507"/>
      <c r="L12" s="507"/>
      <c r="M12" s="497" t="s">
        <v>631</v>
      </c>
    </row>
    <row r="13" spans="1:17" ht="13.5" customHeight="1">
      <c r="H13" s="507" t="s">
        <v>632</v>
      </c>
      <c r="K13" s="507"/>
      <c r="L13" s="507"/>
      <c r="M13" s="507"/>
      <c r="N13" s="507"/>
    </row>
    <row r="14" spans="1:17" ht="13.5" customHeight="1">
      <c r="H14" s="509"/>
      <c r="K14" s="509"/>
      <c r="L14" s="509"/>
      <c r="M14" s="509"/>
      <c r="N14" s="509"/>
    </row>
    <row r="15" spans="1:17" ht="12.75" customHeight="1">
      <c r="B15" s="510" t="s">
        <v>633</v>
      </c>
      <c r="H15" s="507" t="s">
        <v>634</v>
      </c>
      <c r="K15" s="507"/>
      <c r="L15" s="507"/>
      <c r="M15" s="497" t="s">
        <v>635</v>
      </c>
      <c r="Q15" s="511">
        <v>16</v>
      </c>
    </row>
    <row r="16" spans="1:17">
      <c r="H16" s="507" t="s">
        <v>636</v>
      </c>
      <c r="K16" s="507"/>
      <c r="L16" s="507"/>
    </row>
    <row r="18" spans="2:17">
      <c r="B18" s="497" t="s">
        <v>637</v>
      </c>
      <c r="H18" s="497" t="s">
        <v>638</v>
      </c>
      <c r="M18" s="497" t="s">
        <v>635</v>
      </c>
    </row>
    <row r="20" spans="2:17">
      <c r="B20" s="497" t="s">
        <v>639</v>
      </c>
      <c r="H20" s="497" t="s">
        <v>640</v>
      </c>
      <c r="M20" s="497" t="s">
        <v>635</v>
      </c>
    </row>
    <row r="21" spans="2:17" ht="12" customHeight="1"/>
    <row r="22" spans="2:17">
      <c r="B22" s="497" t="s">
        <v>641</v>
      </c>
      <c r="H22" s="507" t="s">
        <v>642</v>
      </c>
      <c r="K22" s="507"/>
      <c r="L22" s="507"/>
      <c r="M22" s="508" t="s">
        <v>643</v>
      </c>
      <c r="N22" s="508"/>
    </row>
    <row r="23" spans="2:17">
      <c r="H23" s="507" t="s">
        <v>22</v>
      </c>
      <c r="K23" s="507"/>
      <c r="L23" s="507"/>
      <c r="M23" s="512" t="s">
        <v>644</v>
      </c>
      <c r="N23" s="512"/>
      <c r="Q23" s="512"/>
    </row>
    <row r="24" spans="2:17">
      <c r="K24" s="836"/>
      <c r="L24" s="836"/>
      <c r="M24" s="837"/>
      <c r="N24" s="837"/>
      <c r="O24" s="837"/>
      <c r="P24" s="837"/>
      <c r="Q24" s="837"/>
    </row>
    <row r="25" spans="2:17">
      <c r="B25" s="497" t="s">
        <v>645</v>
      </c>
    </row>
    <row r="27" spans="2:17">
      <c r="C27" s="497" t="s">
        <v>646</v>
      </c>
    </row>
    <row r="28" spans="2:17">
      <c r="C28" s="497" t="s">
        <v>647</v>
      </c>
    </row>
    <row r="29" spans="2:17">
      <c r="C29" s="497" t="s">
        <v>648</v>
      </c>
    </row>
    <row r="30" spans="2:17">
      <c r="C30" s="497" t="s">
        <v>649</v>
      </c>
    </row>
    <row r="31" spans="2:17">
      <c r="C31" s="497" t="s">
        <v>650</v>
      </c>
    </row>
    <row r="32" spans="2:17">
      <c r="C32" s="497" t="s">
        <v>651</v>
      </c>
    </row>
    <row r="33" spans="1:8">
      <c r="A33" s="513"/>
      <c r="C33" s="497" t="s">
        <v>937</v>
      </c>
      <c r="D33" s="514"/>
      <c r="E33" s="514"/>
      <c r="F33" s="514"/>
      <c r="G33" s="514"/>
      <c r="H33" s="514"/>
    </row>
    <row r="34" spans="1:8">
      <c r="A34" s="513"/>
      <c r="C34" s="497" t="s">
        <v>936</v>
      </c>
      <c r="E34" s="514"/>
      <c r="F34" s="514"/>
      <c r="G34" s="514"/>
      <c r="H34" s="514"/>
    </row>
    <row r="35" spans="1:8">
      <c r="C35" s="497" t="s">
        <v>652</v>
      </c>
      <c r="E35" s="514"/>
      <c r="F35" s="514"/>
      <c r="G35" s="514"/>
      <c r="H35" s="514"/>
    </row>
    <row r="36" spans="1:8">
      <c r="C36" s="497" t="s">
        <v>653</v>
      </c>
      <c r="E36" s="514"/>
      <c r="F36" s="514"/>
      <c r="G36" s="514"/>
      <c r="H36" s="514"/>
    </row>
    <row r="37" spans="1:8">
      <c r="C37" s="497" t="s">
        <v>654</v>
      </c>
      <c r="E37" s="514"/>
      <c r="F37" s="514"/>
      <c r="G37" s="514"/>
      <c r="H37" s="514"/>
    </row>
    <row r="38" spans="1:8">
      <c r="C38" s="497" t="s">
        <v>935</v>
      </c>
      <c r="E38" s="514"/>
      <c r="F38" s="514"/>
      <c r="G38" s="514"/>
      <c r="H38" s="514"/>
    </row>
    <row r="39" spans="1:8">
      <c r="A39" s="515"/>
      <c r="C39" s="497" t="s">
        <v>934</v>
      </c>
      <c r="E39" s="514"/>
      <c r="F39" s="514"/>
      <c r="G39" s="514"/>
      <c r="H39" s="514"/>
    </row>
    <row r="42" spans="1:8" ht="12.75">
      <c r="A42" s="516">
        <v>34</v>
      </c>
      <c r="B42" s="505" t="s">
        <v>655</v>
      </c>
      <c r="C42" s="517"/>
      <c r="D42" s="517"/>
      <c r="E42" s="517"/>
      <c r="F42" s="517"/>
    </row>
    <row r="43" spans="1:8" ht="12.75">
      <c r="A43" s="518"/>
      <c r="B43" s="517"/>
      <c r="C43" s="517"/>
      <c r="D43" s="517"/>
      <c r="E43" s="517"/>
      <c r="F43" s="517"/>
    </row>
    <row r="44" spans="1:8" ht="12.75">
      <c r="B44" s="497" t="s">
        <v>656</v>
      </c>
      <c r="C44" s="519"/>
      <c r="D44" s="517"/>
      <c r="E44" s="517"/>
      <c r="F44" s="517"/>
    </row>
    <row r="45" spans="1:8" ht="12.75">
      <c r="A45" s="520"/>
      <c r="B45" s="497" t="s">
        <v>657</v>
      </c>
      <c r="C45" s="519"/>
      <c r="D45" s="517"/>
      <c r="E45" s="517"/>
      <c r="F45" s="517"/>
    </row>
    <row r="46" spans="1:8" ht="12.75">
      <c r="A46" s="520"/>
      <c r="B46" s="497" t="s">
        <v>658</v>
      </c>
      <c r="C46" s="519"/>
      <c r="D46" s="517"/>
      <c r="E46" s="517"/>
      <c r="F46" s="517"/>
    </row>
    <row r="47" spans="1:8" ht="12.75">
      <c r="A47" s="520"/>
      <c r="B47" s="497" t="s">
        <v>659</v>
      </c>
      <c r="C47" s="517"/>
      <c r="D47" s="517"/>
      <c r="E47" s="517"/>
      <c r="F47" s="517"/>
    </row>
    <row r="48" spans="1:8" ht="12.75">
      <c r="A48" s="520"/>
      <c r="B48" s="497" t="s">
        <v>660</v>
      </c>
      <c r="C48" s="517"/>
      <c r="D48" s="517"/>
      <c r="E48" s="517"/>
      <c r="F48" s="517"/>
    </row>
    <row r="49" spans="1:17" ht="12.75">
      <c r="A49" s="520"/>
      <c r="B49" s="519"/>
      <c r="C49" s="517"/>
      <c r="D49" s="517"/>
      <c r="E49" s="517"/>
      <c r="F49" s="517"/>
    </row>
    <row r="50" spans="1:17" ht="12.75">
      <c r="A50" s="520"/>
      <c r="B50" s="517"/>
      <c r="C50" s="517"/>
      <c r="D50" s="517"/>
      <c r="E50" s="517"/>
      <c r="F50" s="517"/>
    </row>
    <row r="51" spans="1:17" ht="36">
      <c r="A51" s="838" t="s">
        <v>362</v>
      </c>
      <c r="I51" s="521" t="s">
        <v>386</v>
      </c>
      <c r="J51" s="521"/>
      <c r="K51" s="521" t="s">
        <v>11</v>
      </c>
      <c r="L51" s="521"/>
      <c r="M51" s="521" t="s">
        <v>25</v>
      </c>
      <c r="N51" s="521"/>
      <c r="O51" s="521" t="s">
        <v>661</v>
      </c>
      <c r="P51" s="521"/>
      <c r="Q51" s="521" t="s">
        <v>389</v>
      </c>
    </row>
    <row r="52" spans="1:17">
      <c r="A52" s="838"/>
      <c r="I52" s="522" t="s">
        <v>128</v>
      </c>
      <c r="J52" s="522"/>
      <c r="K52" s="522" t="s">
        <v>128</v>
      </c>
      <c r="L52" s="522"/>
      <c r="M52" s="522" t="s">
        <v>128</v>
      </c>
      <c r="N52" s="522"/>
      <c r="O52" s="522" t="s">
        <v>128</v>
      </c>
      <c r="P52" s="522"/>
      <c r="Q52" s="522" t="s">
        <v>128</v>
      </c>
    </row>
    <row r="53" spans="1:17">
      <c r="A53" s="838"/>
      <c r="I53" s="523"/>
      <c r="J53" s="523"/>
      <c r="K53" s="523"/>
      <c r="L53" s="523"/>
      <c r="M53" s="523"/>
      <c r="N53" s="523"/>
      <c r="O53" s="524"/>
      <c r="P53" s="524"/>
      <c r="Q53" s="523"/>
    </row>
    <row r="54" spans="1:17">
      <c r="B54" s="525" t="s">
        <v>21</v>
      </c>
      <c r="I54" s="526"/>
      <c r="J54" s="526"/>
      <c r="K54" s="526"/>
      <c r="L54" s="526"/>
      <c r="M54" s="526"/>
      <c r="N54" s="526"/>
      <c r="O54" s="526"/>
      <c r="P54" s="526"/>
      <c r="Q54" s="526"/>
    </row>
    <row r="55" spans="1:17" ht="12.75" thickBot="1">
      <c r="B55" s="527" t="s">
        <v>662</v>
      </c>
      <c r="I55" s="528">
        <v>115</v>
      </c>
      <c r="J55" s="529"/>
      <c r="K55" s="528">
        <v>215</v>
      </c>
      <c r="L55" s="529"/>
      <c r="M55" s="528">
        <v>200</v>
      </c>
      <c r="N55" s="529"/>
      <c r="O55" s="706">
        <v>0</v>
      </c>
      <c r="P55" s="529"/>
      <c r="Q55" s="528">
        <f>+I55+K55-M55+O55</f>
        <v>130</v>
      </c>
    </row>
    <row r="56" spans="1:17" ht="12.75" thickTop="1">
      <c r="B56" s="525"/>
      <c r="I56" s="529"/>
      <c r="J56" s="529"/>
      <c r="K56" s="529"/>
      <c r="L56" s="529"/>
      <c r="M56" s="529"/>
      <c r="N56" s="529"/>
      <c r="O56" s="529"/>
      <c r="P56" s="529"/>
      <c r="Q56" s="529"/>
    </row>
    <row r="57" spans="1:17">
      <c r="B57" s="525" t="s">
        <v>663</v>
      </c>
      <c r="I57" s="529"/>
      <c r="J57" s="529"/>
      <c r="K57" s="529"/>
      <c r="L57" s="529"/>
      <c r="M57" s="529"/>
      <c r="N57" s="529"/>
      <c r="O57" s="529"/>
      <c r="P57" s="529"/>
      <c r="Q57" s="529"/>
    </row>
    <row r="58" spans="1:17">
      <c r="B58" s="527" t="s">
        <v>664</v>
      </c>
      <c r="I58" s="529">
        <v>2232</v>
      </c>
      <c r="J58" s="529"/>
      <c r="K58" s="529">
        <v>274</v>
      </c>
      <c r="L58" s="529"/>
      <c r="M58" s="529">
        <v>270</v>
      </c>
      <c r="N58" s="529"/>
      <c r="O58" s="529">
        <v>-324</v>
      </c>
      <c r="P58" s="529"/>
      <c r="Q58" s="529">
        <f t="shared" ref="Q58:Q60" si="0">+I58+K58-M58+O58</f>
        <v>1912</v>
      </c>
    </row>
    <row r="59" spans="1:17">
      <c r="B59" s="527" t="s">
        <v>665</v>
      </c>
      <c r="I59" s="529"/>
      <c r="J59" s="529"/>
      <c r="K59" s="529"/>
      <c r="L59" s="529"/>
      <c r="M59" s="529"/>
      <c r="N59" s="529"/>
      <c r="O59" s="529"/>
      <c r="P59" s="529"/>
      <c r="Q59" s="529"/>
    </row>
    <row r="60" spans="1:17">
      <c r="D60" s="497" t="s">
        <v>666</v>
      </c>
      <c r="I60" s="529">
        <v>83</v>
      </c>
      <c r="J60" s="529"/>
      <c r="K60" s="529">
        <v>233</v>
      </c>
      <c r="L60" s="529"/>
      <c r="M60" s="529">
        <v>225</v>
      </c>
      <c r="N60" s="529"/>
      <c r="O60" s="365">
        <v>0</v>
      </c>
      <c r="P60" s="529"/>
      <c r="Q60" s="529">
        <f t="shared" si="0"/>
        <v>91</v>
      </c>
    </row>
    <row r="61" spans="1:17" ht="12.75" thickBot="1">
      <c r="A61" s="526"/>
      <c r="I61" s="530">
        <f>SUM(I58:I60)</f>
        <v>2315</v>
      </c>
      <c r="J61" s="156"/>
      <c r="K61" s="530">
        <f t="shared" ref="K61:Q61" si="1">SUM(K58:K60)</f>
        <v>507</v>
      </c>
      <c r="L61" s="156"/>
      <c r="M61" s="530">
        <f t="shared" si="1"/>
        <v>495</v>
      </c>
      <c r="N61" s="156"/>
      <c r="O61" s="530">
        <f t="shared" si="1"/>
        <v>-324</v>
      </c>
      <c r="P61" s="156"/>
      <c r="Q61" s="530">
        <f t="shared" si="1"/>
        <v>2003</v>
      </c>
    </row>
    <row r="62" spans="1:17" ht="12.75" thickTop="1">
      <c r="A62" s="527"/>
    </row>
    <row r="63" spans="1:17">
      <c r="A63" s="527"/>
      <c r="B63" s="527" t="s">
        <v>667</v>
      </c>
    </row>
    <row r="64" spans="1:17">
      <c r="A64" s="527"/>
      <c r="B64" s="497" t="s">
        <v>668</v>
      </c>
    </row>
    <row r="65" spans="1:4">
      <c r="B65" s="497" t="s">
        <v>669</v>
      </c>
    </row>
    <row r="66" spans="1:4">
      <c r="A66" s="527"/>
    </row>
    <row r="67" spans="1:4">
      <c r="A67" s="531" t="s">
        <v>670</v>
      </c>
      <c r="B67" s="532" t="s">
        <v>671</v>
      </c>
      <c r="D67" s="527" t="s">
        <v>672</v>
      </c>
    </row>
    <row r="68" spans="1:4">
      <c r="D68" s="497" t="s">
        <v>673</v>
      </c>
    </row>
  </sheetData>
  <mergeCells count="2">
    <mergeCell ref="K24:Q24"/>
    <mergeCell ref="A51:A53"/>
  </mergeCells>
  <hyperlinks>
    <hyperlink ref="B15" r:id="rId1" display="Imago@Loughborough"/>
  </hyperlinks>
  <pageMargins left="0.70866141732283472" right="0.70866141732283472" top="0.74803149606299213" bottom="0.74803149606299213" header="0.31496062992125984" footer="0.31496062992125984"/>
  <pageSetup paperSize="9" scale="79" orientation="portrait" r:id="rId2"/>
  <headerFooter>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topLeftCell="A13" zoomScale="85" zoomScaleNormal="75" zoomScaleSheetLayoutView="85" zoomScalePageLayoutView="70" workbookViewId="0">
      <selection activeCell="K38" sqref="K38"/>
    </sheetView>
  </sheetViews>
  <sheetFormatPr defaultColWidth="9.140625" defaultRowHeight="12"/>
  <cols>
    <col min="1" max="1" width="3.42578125" style="538" customWidth="1"/>
    <col min="2" max="2" width="2.42578125" style="538" customWidth="1"/>
    <col min="3" max="5" width="9.140625" style="538"/>
    <col min="6" max="6" width="7.28515625" style="538" customWidth="1"/>
    <col min="7" max="7" width="9.28515625" style="538" customWidth="1"/>
    <col min="8" max="8" width="2.42578125" style="538" customWidth="1"/>
    <col min="9" max="9" width="11.7109375" style="538" bestFit="1" customWidth="1"/>
    <col min="10" max="10" width="2.42578125" style="538" customWidth="1"/>
    <col min="11" max="11" width="11.42578125" style="538" bestFit="1" customWidth="1"/>
    <col min="12" max="12" width="43.28515625" style="538" customWidth="1"/>
    <col min="13" max="16384" width="9.140625" style="538"/>
  </cols>
  <sheetData>
    <row r="1" spans="1:13" s="490" customFormat="1" ht="30" customHeight="1">
      <c r="A1" s="480" t="s">
        <v>298</v>
      </c>
      <c r="B1" s="480"/>
      <c r="C1" s="480"/>
      <c r="D1" s="480"/>
      <c r="E1" s="480"/>
      <c r="F1" s="480"/>
    </row>
    <row r="2" spans="1:13" s="488" customFormat="1" ht="19.5" customHeight="1">
      <c r="A2" s="481" t="s">
        <v>129</v>
      </c>
      <c r="B2" s="481"/>
      <c r="C2" s="481"/>
      <c r="D2" s="481"/>
      <c r="E2" s="481"/>
    </row>
    <row r="3" spans="1:13" s="491" customFormat="1" ht="15" customHeight="1" thickBot="1">
      <c r="A3" s="533"/>
      <c r="B3" s="533"/>
      <c r="C3" s="533"/>
      <c r="D3" s="533"/>
      <c r="E3" s="533"/>
      <c r="F3" s="533"/>
      <c r="G3" s="533"/>
      <c r="H3" s="533"/>
      <c r="I3" s="533"/>
      <c r="J3" s="533"/>
      <c r="K3" s="533"/>
      <c r="L3" s="533"/>
    </row>
    <row r="4" spans="1:13" s="487" customFormat="1" ht="15" customHeight="1">
      <c r="A4" s="486"/>
    </row>
    <row r="5" spans="1:13" s="491" customFormat="1" ht="15" customHeight="1">
      <c r="A5" s="534">
        <v>34</v>
      </c>
      <c r="B5" s="152" t="s">
        <v>674</v>
      </c>
      <c r="C5" s="152"/>
      <c r="D5" s="150"/>
      <c r="E5" s="535"/>
      <c r="F5" s="536"/>
      <c r="G5" s="536"/>
      <c r="H5" s="536"/>
      <c r="I5" s="536"/>
      <c r="J5" s="536"/>
      <c r="K5" s="536"/>
      <c r="L5" s="537"/>
      <c r="M5" s="493"/>
    </row>
    <row r="6" spans="1:13">
      <c r="A6" s="150"/>
      <c r="B6" s="150"/>
      <c r="C6" s="150"/>
      <c r="D6" s="150"/>
      <c r="E6" s="150"/>
      <c r="F6" s="150"/>
      <c r="G6" s="150"/>
      <c r="H6" s="150"/>
      <c r="I6" s="150"/>
      <c r="J6" s="150"/>
      <c r="K6" s="150"/>
      <c r="L6" s="150"/>
    </row>
    <row r="7" spans="1:13">
      <c r="A7" s="150"/>
      <c r="B7" s="150" t="s">
        <v>675</v>
      </c>
      <c r="C7" s="150"/>
      <c r="D7" s="150"/>
      <c r="E7" s="150"/>
      <c r="F7" s="150"/>
      <c r="G7" s="150"/>
      <c r="H7" s="150"/>
      <c r="I7" s="150"/>
      <c r="J7" s="150"/>
      <c r="K7" s="150"/>
      <c r="L7" s="150"/>
    </row>
    <row r="8" spans="1:13">
      <c r="A8" s="150"/>
      <c r="B8" s="150" t="s">
        <v>676</v>
      </c>
      <c r="C8" s="150"/>
      <c r="D8" s="150"/>
      <c r="E8" s="150"/>
      <c r="F8" s="150"/>
      <c r="G8" s="150"/>
      <c r="H8" s="150"/>
      <c r="I8" s="150"/>
      <c r="J8" s="150"/>
      <c r="K8" s="150"/>
      <c r="L8" s="150"/>
    </row>
    <row r="9" spans="1:13">
      <c r="A9" s="150"/>
      <c r="B9" s="150" t="s">
        <v>677</v>
      </c>
      <c r="C9" s="150"/>
      <c r="D9" s="150"/>
      <c r="E9" s="150"/>
      <c r="F9" s="150"/>
      <c r="G9" s="150"/>
      <c r="H9" s="150"/>
      <c r="I9" s="150"/>
      <c r="J9" s="150"/>
      <c r="K9" s="150"/>
      <c r="L9" s="150"/>
    </row>
    <row r="10" spans="1:13">
      <c r="A10" s="150"/>
      <c r="B10" s="150" t="s">
        <v>678</v>
      </c>
      <c r="C10" s="150"/>
      <c r="D10" s="150"/>
      <c r="E10" s="150"/>
      <c r="F10" s="150"/>
      <c r="G10" s="150"/>
      <c r="H10" s="150"/>
      <c r="I10" s="150"/>
      <c r="J10" s="150"/>
      <c r="K10" s="150"/>
      <c r="L10" s="150"/>
    </row>
    <row r="11" spans="1:13">
      <c r="A11" s="150"/>
      <c r="B11" s="150" t="s">
        <v>679</v>
      </c>
      <c r="C11" s="150"/>
      <c r="D11" s="150"/>
      <c r="E11" s="150"/>
      <c r="F11" s="150"/>
      <c r="G11" s="150"/>
      <c r="H11" s="150"/>
      <c r="I11" s="150"/>
      <c r="J11" s="150"/>
      <c r="K11" s="150"/>
      <c r="L11" s="150"/>
    </row>
    <row r="12" spans="1:13">
      <c r="A12" s="150"/>
      <c r="B12" s="150"/>
      <c r="C12" s="150"/>
      <c r="D12" s="150"/>
      <c r="E12" s="150"/>
      <c r="F12" s="150"/>
      <c r="G12" s="150"/>
      <c r="H12" s="150"/>
      <c r="I12" s="150"/>
      <c r="J12" s="150"/>
      <c r="K12" s="150"/>
      <c r="L12" s="150"/>
    </row>
    <row r="13" spans="1:13" ht="25.5" customHeight="1">
      <c r="A13" s="150"/>
      <c r="B13" s="839" t="s">
        <v>680</v>
      </c>
      <c r="C13" s="839"/>
      <c r="D13" s="839"/>
      <c r="E13" s="839"/>
      <c r="F13" s="839"/>
      <c r="G13" s="839"/>
      <c r="H13" s="839"/>
      <c r="I13" s="839"/>
      <c r="J13" s="839"/>
      <c r="K13" s="839"/>
      <c r="L13" s="839"/>
    </row>
    <row r="14" spans="1:13">
      <c r="A14" s="150"/>
      <c r="B14" s="150"/>
      <c r="C14" s="150"/>
      <c r="D14" s="150"/>
      <c r="E14" s="150"/>
      <c r="F14" s="150"/>
      <c r="G14" s="150"/>
      <c r="H14" s="150"/>
      <c r="I14" s="150"/>
      <c r="J14" s="150"/>
      <c r="K14" s="150"/>
      <c r="L14" s="150"/>
    </row>
    <row r="15" spans="1:13" ht="38.25" customHeight="1">
      <c r="A15" s="150"/>
      <c r="B15" s="839" t="s">
        <v>681</v>
      </c>
      <c r="C15" s="839"/>
      <c r="D15" s="839"/>
      <c r="E15" s="839"/>
      <c r="F15" s="839"/>
      <c r="G15" s="839"/>
      <c r="H15" s="839"/>
      <c r="I15" s="839"/>
      <c r="J15" s="839"/>
      <c r="K15" s="839"/>
      <c r="L15" s="839"/>
    </row>
    <row r="16" spans="1:13">
      <c r="A16" s="150"/>
      <c r="B16" s="150"/>
      <c r="C16" s="150"/>
      <c r="D16" s="150"/>
      <c r="E16" s="150"/>
      <c r="F16" s="150"/>
      <c r="G16" s="150"/>
      <c r="H16" s="150"/>
      <c r="I16" s="150"/>
      <c r="J16" s="150"/>
      <c r="K16" s="150"/>
      <c r="L16" s="150"/>
    </row>
    <row r="17" spans="1:12">
      <c r="A17" s="150"/>
      <c r="B17" s="150"/>
      <c r="C17" s="150"/>
      <c r="D17" s="150"/>
      <c r="E17" s="150"/>
      <c r="F17" s="150"/>
      <c r="G17" s="150"/>
      <c r="H17" s="150"/>
      <c r="I17" s="152" t="s">
        <v>317</v>
      </c>
      <c r="J17" s="152"/>
      <c r="K17" s="152" t="s">
        <v>317</v>
      </c>
      <c r="L17" s="150"/>
    </row>
    <row r="18" spans="1:12">
      <c r="A18" s="150"/>
      <c r="B18" s="150"/>
      <c r="C18" s="150"/>
      <c r="D18" s="150"/>
      <c r="E18" s="150"/>
      <c r="F18" s="150"/>
      <c r="G18" s="150"/>
      <c r="H18" s="150"/>
      <c r="I18" s="152" t="s">
        <v>318</v>
      </c>
      <c r="J18" s="152"/>
      <c r="K18" s="152" t="s">
        <v>319</v>
      </c>
      <c r="L18" s="150"/>
    </row>
    <row r="19" spans="1:12">
      <c r="A19" s="150"/>
      <c r="B19" s="150"/>
      <c r="C19" s="150"/>
      <c r="D19" s="150"/>
      <c r="E19" s="150"/>
      <c r="F19" s="150"/>
      <c r="G19" s="150"/>
      <c r="H19" s="150"/>
      <c r="I19" s="152" t="s">
        <v>682</v>
      </c>
      <c r="J19" s="152"/>
      <c r="K19" s="152" t="s">
        <v>682</v>
      </c>
      <c r="L19" s="150"/>
    </row>
    <row r="20" spans="1:12">
      <c r="A20" s="150"/>
      <c r="B20" s="150" t="s">
        <v>683</v>
      </c>
      <c r="C20" s="150"/>
      <c r="D20" s="150"/>
      <c r="E20" s="150"/>
      <c r="F20" s="150"/>
      <c r="G20" s="150"/>
      <c r="H20" s="150"/>
      <c r="I20" s="150"/>
      <c r="J20" s="150"/>
      <c r="K20" s="150"/>
      <c r="L20" s="150" t="s">
        <v>684</v>
      </c>
    </row>
    <row r="21" spans="1:12">
      <c r="A21" s="150"/>
      <c r="B21" s="150" t="s">
        <v>685</v>
      </c>
      <c r="C21" s="150"/>
      <c r="D21" s="150"/>
      <c r="E21" s="150"/>
      <c r="F21" s="150"/>
      <c r="G21" s="150"/>
      <c r="H21" s="150"/>
      <c r="I21" s="150"/>
      <c r="J21" s="150"/>
      <c r="K21" s="150"/>
      <c r="L21" s="150" t="s">
        <v>686</v>
      </c>
    </row>
    <row r="22" spans="1:12">
      <c r="A22" s="150"/>
      <c r="B22" s="150" t="s">
        <v>687</v>
      </c>
      <c r="C22" s="150"/>
      <c r="D22" s="150"/>
      <c r="E22" s="150"/>
      <c r="F22" s="150"/>
      <c r="G22" s="150"/>
      <c r="H22" s="150"/>
      <c r="I22" s="150"/>
      <c r="J22" s="150"/>
      <c r="K22" s="150"/>
      <c r="L22" s="150" t="s">
        <v>688</v>
      </c>
    </row>
    <row r="23" spans="1:12" ht="12.75" thickBot="1">
      <c r="A23" s="150"/>
      <c r="B23" s="150"/>
      <c r="C23" s="150"/>
      <c r="D23" s="150"/>
      <c r="E23" s="150"/>
      <c r="F23" s="150"/>
      <c r="G23" s="150"/>
      <c r="H23" s="150"/>
      <c r="I23" s="539"/>
      <c r="J23" s="150"/>
      <c r="K23" s="539"/>
      <c r="L23" s="150"/>
    </row>
    <row r="24" spans="1:12" ht="12.75" thickTop="1">
      <c r="A24" s="150"/>
      <c r="B24" s="150"/>
      <c r="C24" s="150"/>
      <c r="D24" s="150"/>
      <c r="E24" s="150"/>
      <c r="F24" s="150"/>
      <c r="G24" s="150"/>
      <c r="H24" s="150"/>
      <c r="I24" s="150"/>
      <c r="J24" s="150"/>
      <c r="K24" s="150"/>
      <c r="L24" s="150"/>
    </row>
    <row r="25" spans="1:12">
      <c r="A25" s="150"/>
      <c r="B25" s="150" t="s">
        <v>689</v>
      </c>
      <c r="C25" s="152" t="s">
        <v>690</v>
      </c>
      <c r="D25" s="150"/>
      <c r="E25" s="150"/>
      <c r="F25" s="150"/>
      <c r="G25" s="150"/>
      <c r="H25" s="150"/>
      <c r="I25" s="543" t="s">
        <v>1185</v>
      </c>
      <c r="J25" s="150"/>
      <c r="K25" s="150"/>
      <c r="L25" s="150"/>
    </row>
    <row r="26" spans="1:12">
      <c r="A26" s="150"/>
      <c r="B26" s="150"/>
      <c r="C26" s="150"/>
      <c r="D26" s="150"/>
      <c r="E26" s="150"/>
      <c r="F26" s="150"/>
      <c r="G26" s="150"/>
      <c r="H26" s="150"/>
      <c r="I26" s="150"/>
      <c r="J26" s="150"/>
      <c r="K26" s="150"/>
      <c r="L26" s="150"/>
    </row>
    <row r="27" spans="1:12">
      <c r="A27" s="150"/>
      <c r="B27" s="150" t="s">
        <v>952</v>
      </c>
      <c r="C27" s="150"/>
      <c r="D27" s="150"/>
      <c r="E27" s="150"/>
      <c r="F27" s="150"/>
      <c r="G27" s="150"/>
      <c r="H27" s="150"/>
      <c r="I27" s="150"/>
      <c r="J27" s="150"/>
      <c r="K27" s="150"/>
      <c r="L27" s="150"/>
    </row>
    <row r="28" spans="1:12">
      <c r="A28" s="150"/>
      <c r="B28" s="150" t="s">
        <v>951</v>
      </c>
      <c r="C28" s="150"/>
      <c r="D28" s="150"/>
      <c r="E28" s="150"/>
      <c r="F28" s="150"/>
      <c r="G28" s="150"/>
      <c r="H28" s="150"/>
      <c r="I28" s="150"/>
      <c r="J28" s="150"/>
      <c r="K28" s="150"/>
      <c r="L28" s="150"/>
    </row>
    <row r="29" spans="1:12">
      <c r="A29" s="150"/>
      <c r="B29" s="150" t="s">
        <v>691</v>
      </c>
      <c r="C29" s="150"/>
      <c r="D29" s="150"/>
      <c r="E29" s="150"/>
      <c r="F29" s="150"/>
      <c r="G29" s="150"/>
      <c r="H29" s="150"/>
      <c r="I29" s="150"/>
      <c r="J29" s="150"/>
      <c r="K29" s="150"/>
      <c r="L29" s="150"/>
    </row>
    <row r="30" spans="1:12">
      <c r="A30" s="150"/>
      <c r="B30" s="150"/>
      <c r="C30" s="150"/>
      <c r="D30" s="150"/>
      <c r="E30" s="150"/>
      <c r="F30" s="150"/>
      <c r="G30" s="150"/>
      <c r="H30" s="150"/>
      <c r="I30" s="150"/>
      <c r="J30" s="150"/>
      <c r="K30" s="150"/>
      <c r="L30" s="150"/>
    </row>
    <row r="31" spans="1:12">
      <c r="A31" s="150"/>
      <c r="B31" s="150" t="s">
        <v>692</v>
      </c>
      <c r="C31" s="150"/>
      <c r="D31" s="150"/>
      <c r="E31" s="150"/>
      <c r="F31" s="150"/>
      <c r="G31" s="150"/>
      <c r="H31" s="150"/>
      <c r="I31" s="150"/>
      <c r="J31" s="150"/>
      <c r="K31" s="150"/>
      <c r="L31" s="150"/>
    </row>
    <row r="32" spans="1:12">
      <c r="A32" s="150"/>
      <c r="B32" s="150" t="s">
        <v>953</v>
      </c>
      <c r="C32" s="150"/>
      <c r="D32" s="150"/>
      <c r="E32" s="150"/>
      <c r="F32" s="150"/>
      <c r="G32" s="150"/>
      <c r="H32" s="150"/>
      <c r="I32" s="150"/>
      <c r="J32" s="150"/>
      <c r="K32" s="150"/>
      <c r="L32" s="150"/>
    </row>
    <row r="33" spans="1:12">
      <c r="A33" s="150"/>
      <c r="B33" s="150" t="s">
        <v>955</v>
      </c>
      <c r="C33" s="150"/>
      <c r="D33" s="150"/>
      <c r="E33" s="150"/>
      <c r="F33" s="150"/>
      <c r="G33" s="150"/>
      <c r="H33" s="150"/>
      <c r="I33" s="150"/>
      <c r="J33" s="150"/>
      <c r="K33" s="150"/>
      <c r="L33" s="150"/>
    </row>
    <row r="34" spans="1:12">
      <c r="A34" s="150"/>
      <c r="B34" s="150" t="s">
        <v>954</v>
      </c>
      <c r="C34" s="150"/>
      <c r="D34" s="150"/>
      <c r="E34" s="150"/>
      <c r="F34" s="150"/>
      <c r="G34" s="150"/>
      <c r="H34" s="150"/>
      <c r="I34" s="150"/>
      <c r="J34" s="150"/>
      <c r="K34" s="150"/>
      <c r="L34" s="150"/>
    </row>
    <row r="35" spans="1:12">
      <c r="A35" s="150"/>
      <c r="B35" s="150"/>
      <c r="C35" s="150"/>
      <c r="D35" s="150"/>
      <c r="E35" s="150"/>
      <c r="F35" s="150"/>
      <c r="G35" s="150"/>
      <c r="H35" s="150"/>
      <c r="I35" s="150"/>
      <c r="J35" s="150"/>
      <c r="K35" s="150"/>
      <c r="L35" s="150"/>
    </row>
    <row r="36" spans="1:12">
      <c r="A36" s="150"/>
      <c r="B36" s="150" t="s">
        <v>693</v>
      </c>
      <c r="C36" s="150"/>
      <c r="D36" s="150"/>
      <c r="E36" s="150"/>
      <c r="F36" s="150"/>
      <c r="G36" s="150"/>
      <c r="H36" s="150"/>
      <c r="I36" s="150"/>
      <c r="J36" s="150"/>
      <c r="K36" s="150"/>
      <c r="L36" s="150"/>
    </row>
    <row r="37" spans="1:12">
      <c r="A37" s="150"/>
      <c r="B37" s="150" t="s">
        <v>694</v>
      </c>
      <c r="C37" s="150"/>
      <c r="D37" s="150"/>
      <c r="E37" s="150"/>
      <c r="F37" s="150"/>
      <c r="G37" s="150"/>
      <c r="H37" s="150"/>
      <c r="I37" s="150"/>
      <c r="J37" s="150"/>
      <c r="K37" s="150"/>
      <c r="L37" s="150"/>
    </row>
    <row r="38" spans="1:12" s="150" customFormat="1"/>
    <row r="39" spans="1:12" s="150" customFormat="1">
      <c r="B39" s="150" t="s">
        <v>695</v>
      </c>
    </row>
    <row r="40" spans="1:12" s="150" customFormat="1">
      <c r="B40" s="150" t="s">
        <v>696</v>
      </c>
    </row>
    <row r="41" spans="1:12" s="150" customFormat="1"/>
    <row r="42" spans="1:12" s="150" customFormat="1">
      <c r="B42" s="840" t="s">
        <v>697</v>
      </c>
      <c r="C42" s="840"/>
      <c r="D42" s="840"/>
      <c r="E42" s="840"/>
      <c r="F42" s="840"/>
      <c r="G42" s="840"/>
      <c r="H42" s="840"/>
      <c r="I42" s="840"/>
      <c r="J42" s="840"/>
      <c r="K42" s="840"/>
      <c r="L42" s="840"/>
    </row>
    <row r="43" spans="1:12" s="150" customFormat="1" ht="37.15" customHeight="1">
      <c r="B43" s="840"/>
      <c r="C43" s="840"/>
      <c r="D43" s="840"/>
      <c r="E43" s="840"/>
      <c r="F43" s="840"/>
      <c r="G43" s="840"/>
      <c r="H43" s="840"/>
      <c r="I43" s="840"/>
      <c r="J43" s="840"/>
      <c r="K43" s="840"/>
      <c r="L43" s="840"/>
    </row>
    <row r="44" spans="1:12" s="150" customFormat="1">
      <c r="B44" s="540"/>
      <c r="C44" s="540"/>
      <c r="D44" s="540"/>
      <c r="E44" s="540"/>
      <c r="F44" s="540"/>
      <c r="G44" s="540"/>
      <c r="H44" s="540"/>
      <c r="I44" s="540"/>
      <c r="J44" s="540"/>
      <c r="K44" s="540"/>
      <c r="L44" s="540"/>
    </row>
    <row r="45" spans="1:12">
      <c r="A45" s="150"/>
      <c r="B45" s="150" t="s">
        <v>698</v>
      </c>
      <c r="C45" s="150"/>
      <c r="D45" s="150"/>
      <c r="E45" s="150"/>
      <c r="F45" s="150"/>
      <c r="G45" s="150"/>
      <c r="H45" s="150"/>
      <c r="I45" s="150"/>
      <c r="J45" s="150"/>
      <c r="K45" s="150"/>
      <c r="L45" s="150"/>
    </row>
    <row r="46" spans="1:12">
      <c r="A46" s="150"/>
      <c r="B46" s="150" t="s">
        <v>699</v>
      </c>
      <c r="C46" s="150"/>
      <c r="D46" s="150"/>
      <c r="E46" s="150"/>
      <c r="F46" s="150"/>
      <c r="G46" s="150"/>
      <c r="H46" s="150"/>
      <c r="I46" s="150"/>
      <c r="J46" s="150"/>
      <c r="K46" s="150"/>
      <c r="L46" s="150"/>
    </row>
    <row r="47" spans="1:12">
      <c r="A47" s="150"/>
      <c r="B47" s="150" t="s">
        <v>700</v>
      </c>
      <c r="C47" s="150"/>
      <c r="D47" s="150"/>
      <c r="E47" s="150"/>
      <c r="F47" s="150"/>
      <c r="G47" s="150"/>
      <c r="H47" s="150"/>
      <c r="I47" s="150"/>
      <c r="J47" s="150"/>
      <c r="K47" s="150"/>
      <c r="L47" s="150"/>
    </row>
    <row r="48" spans="1:12">
      <c r="A48" s="150"/>
      <c r="B48" s="150" t="s">
        <v>701</v>
      </c>
      <c r="C48" s="150"/>
      <c r="D48" s="150"/>
      <c r="E48" s="150"/>
      <c r="F48" s="150"/>
      <c r="G48" s="150"/>
      <c r="H48" s="150"/>
      <c r="I48" s="150"/>
      <c r="J48" s="150"/>
      <c r="K48" s="150"/>
      <c r="L48" s="150"/>
    </row>
    <row r="49" spans="1:12">
      <c r="A49" s="150"/>
      <c r="B49" s="150"/>
      <c r="C49" s="150"/>
      <c r="D49" s="150"/>
      <c r="E49" s="150"/>
      <c r="F49" s="150"/>
      <c r="G49" s="150"/>
      <c r="H49" s="150"/>
      <c r="I49" s="150"/>
      <c r="J49" s="150"/>
      <c r="K49" s="150"/>
      <c r="L49" s="150"/>
    </row>
    <row r="50" spans="1:12">
      <c r="A50" s="150"/>
      <c r="B50" s="150"/>
      <c r="C50" s="150"/>
      <c r="D50" s="150"/>
      <c r="E50" s="150"/>
      <c r="F50" s="150"/>
      <c r="G50" s="150"/>
      <c r="H50" s="150"/>
      <c r="I50" s="150"/>
      <c r="J50" s="150"/>
      <c r="K50" s="150"/>
      <c r="L50" s="150"/>
    </row>
  </sheetData>
  <mergeCells count="3">
    <mergeCell ref="B13:L13"/>
    <mergeCell ref="B15:L15"/>
    <mergeCell ref="B42:L43"/>
  </mergeCells>
  <pageMargins left="0.70866141732283472" right="0.70866141732283472" top="0.74803149606299213" bottom="0.74803149606299213" header="0.31496062992125984" footer="0.31496062992125984"/>
  <pageSetup paperSize="9" scale="71" orientation="portrait" r:id="rId1"/>
  <headerFooter>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view="pageBreakPreview" topLeftCell="A31" zoomScale="85" zoomScaleNormal="100" zoomScaleSheetLayoutView="85" zoomScalePageLayoutView="70" workbookViewId="0">
      <selection activeCell="A6" sqref="A6"/>
    </sheetView>
  </sheetViews>
  <sheetFormatPr defaultColWidth="9.140625" defaultRowHeight="12"/>
  <cols>
    <col min="1" max="1" width="3.85546875" style="538" customWidth="1"/>
    <col min="2" max="2" width="7.28515625" style="538" customWidth="1"/>
    <col min="3" max="3" width="9.140625" style="538"/>
    <col min="4" max="4" width="12.5703125" style="538" customWidth="1"/>
    <col min="5" max="6" width="9.140625" style="538"/>
    <col min="7" max="7" width="12.85546875" style="538" customWidth="1"/>
    <col min="8" max="8" width="9.140625" style="538"/>
    <col min="9" max="9" width="13" style="538" customWidth="1"/>
    <col min="10" max="10" width="15" style="538" customWidth="1"/>
    <col min="11" max="16384" width="9.140625" style="538"/>
  </cols>
  <sheetData>
    <row r="1" spans="1:11" s="490" customFormat="1" ht="30" customHeight="1">
      <c r="A1" s="480" t="s">
        <v>298</v>
      </c>
      <c r="B1" s="480"/>
      <c r="C1" s="480"/>
      <c r="D1" s="480"/>
    </row>
    <row r="2" spans="1:11" s="488" customFormat="1" ht="19.5" customHeight="1">
      <c r="A2" s="481" t="s">
        <v>129</v>
      </c>
      <c r="B2" s="481"/>
      <c r="C2" s="481"/>
      <c r="D2" s="481"/>
    </row>
    <row r="3" spans="1:11" s="491" customFormat="1" ht="15" customHeight="1" thickBot="1">
      <c r="A3" s="533"/>
      <c r="B3" s="533"/>
      <c r="C3" s="533"/>
      <c r="D3" s="533"/>
      <c r="E3" s="533"/>
      <c r="F3" s="533"/>
      <c r="G3" s="533"/>
      <c r="H3" s="533"/>
      <c r="I3" s="533"/>
      <c r="J3" s="533"/>
      <c r="K3" s="533"/>
    </row>
    <row r="4" spans="1:11" s="487" customFormat="1" ht="15" customHeight="1">
      <c r="A4" s="486"/>
    </row>
    <row r="5" spans="1:11" s="491" customFormat="1" ht="15" customHeight="1">
      <c r="A5" s="489">
        <v>34</v>
      </c>
      <c r="B5" s="490" t="s">
        <v>702</v>
      </c>
      <c r="C5" s="490"/>
      <c r="E5" s="492"/>
      <c r="F5" s="493"/>
      <c r="G5" s="493"/>
      <c r="H5" s="493"/>
      <c r="I5" s="493"/>
      <c r="J5" s="493"/>
      <c r="K5" s="493"/>
    </row>
    <row r="7" spans="1:11">
      <c r="A7" s="150"/>
      <c r="B7" s="150" t="s">
        <v>703</v>
      </c>
      <c r="C7" s="150"/>
      <c r="D7" s="150"/>
      <c r="E7" s="150"/>
      <c r="F7" s="150"/>
      <c r="G7" s="150"/>
      <c r="H7" s="150"/>
      <c r="I7" s="150"/>
      <c r="J7" s="150"/>
    </row>
    <row r="8" spans="1:11">
      <c r="A8" s="150"/>
      <c r="B8" s="150" t="s">
        <v>704</v>
      </c>
      <c r="C8" s="150"/>
      <c r="D8" s="150"/>
      <c r="E8" s="150"/>
      <c r="F8" s="150"/>
      <c r="G8" s="150"/>
      <c r="H8" s="150"/>
      <c r="I8" s="150"/>
      <c r="J8" s="150"/>
    </row>
    <row r="9" spans="1:11">
      <c r="A9" s="150"/>
      <c r="B9" s="150" t="s">
        <v>705</v>
      </c>
      <c r="C9" s="150"/>
      <c r="D9" s="150"/>
      <c r="E9" s="150"/>
      <c r="F9" s="150"/>
      <c r="G9" s="150"/>
      <c r="H9" s="150"/>
      <c r="I9" s="150"/>
      <c r="J9" s="150"/>
    </row>
    <row r="10" spans="1:11">
      <c r="A10" s="150"/>
      <c r="B10" s="150" t="s">
        <v>706</v>
      </c>
      <c r="C10" s="150"/>
      <c r="D10" s="150"/>
      <c r="E10" s="150"/>
      <c r="F10" s="150"/>
      <c r="G10" s="150"/>
      <c r="H10" s="150"/>
      <c r="I10" s="150"/>
      <c r="J10" s="150"/>
    </row>
    <row r="11" spans="1:11">
      <c r="A11" s="150"/>
      <c r="B11" s="150" t="s">
        <v>707</v>
      </c>
      <c r="C11" s="150"/>
      <c r="D11" s="150"/>
      <c r="E11" s="150"/>
      <c r="F11" s="150"/>
      <c r="G11" s="150"/>
      <c r="H11" s="150"/>
      <c r="I11" s="150"/>
      <c r="J11" s="150"/>
    </row>
    <row r="12" spans="1:11">
      <c r="A12" s="150"/>
      <c r="B12" s="150" t="s">
        <v>708</v>
      </c>
      <c r="C12" s="150"/>
      <c r="D12" s="150"/>
      <c r="E12" s="150"/>
      <c r="F12" s="150"/>
      <c r="G12" s="150"/>
      <c r="H12" s="150"/>
      <c r="I12" s="150"/>
      <c r="J12" s="150"/>
    </row>
    <row r="13" spans="1:11">
      <c r="A13" s="150"/>
      <c r="B13" s="150"/>
      <c r="C13" s="150"/>
      <c r="D13" s="150"/>
      <c r="E13" s="150"/>
      <c r="F13" s="150"/>
      <c r="G13" s="150"/>
      <c r="H13" s="150"/>
      <c r="I13" s="150"/>
      <c r="J13" s="150"/>
    </row>
    <row r="14" spans="1:11">
      <c r="A14" s="150"/>
      <c r="B14" s="150" t="s">
        <v>709</v>
      </c>
      <c r="C14" s="150"/>
      <c r="D14" s="150"/>
      <c r="E14" s="150"/>
      <c r="F14" s="150"/>
      <c r="G14" s="150"/>
      <c r="H14" s="150"/>
      <c r="I14" s="150"/>
      <c r="J14" s="150"/>
    </row>
    <row r="15" spans="1:11">
      <c r="A15" s="150"/>
      <c r="B15" s="150" t="s">
        <v>710</v>
      </c>
      <c r="C15" s="150"/>
      <c r="D15" s="150"/>
      <c r="E15" s="150"/>
      <c r="F15" s="150"/>
      <c r="G15" s="150"/>
      <c r="H15" s="150"/>
      <c r="I15" s="150"/>
      <c r="J15" s="150"/>
    </row>
    <row r="16" spans="1:11">
      <c r="A16" s="150"/>
      <c r="B16" s="150" t="s">
        <v>711</v>
      </c>
      <c r="C16" s="150"/>
      <c r="D16" s="150"/>
      <c r="E16" s="150"/>
      <c r="F16" s="150"/>
      <c r="G16" s="150"/>
      <c r="H16" s="150"/>
      <c r="I16" s="150"/>
      <c r="J16" s="150"/>
    </row>
    <row r="17" spans="1:11">
      <c r="A17" s="150"/>
      <c r="B17" s="150" t="s">
        <v>712</v>
      </c>
      <c r="C17" s="150"/>
      <c r="D17" s="150"/>
      <c r="E17" s="150"/>
      <c r="F17" s="150"/>
      <c r="G17" s="150"/>
      <c r="H17" s="150"/>
      <c r="I17" s="150"/>
      <c r="J17" s="150"/>
    </row>
    <row r="18" spans="1:11">
      <c r="A18" s="150"/>
      <c r="B18" s="150"/>
      <c r="C18" s="150"/>
      <c r="D18" s="150"/>
      <c r="E18" s="150"/>
      <c r="F18" s="150"/>
      <c r="G18" s="150"/>
      <c r="H18" s="150"/>
      <c r="I18" s="150"/>
      <c r="J18" s="150"/>
    </row>
    <row r="19" spans="1:11">
      <c r="A19" s="150"/>
      <c r="B19" s="150" t="s">
        <v>713</v>
      </c>
      <c r="C19" s="150"/>
      <c r="D19" s="150"/>
      <c r="E19" s="150"/>
      <c r="F19" s="150"/>
      <c r="G19" s="150"/>
      <c r="H19" s="150"/>
      <c r="I19" s="150"/>
      <c r="J19" s="150"/>
    </row>
    <row r="20" spans="1:11">
      <c r="A20" s="150"/>
      <c r="B20" s="150"/>
      <c r="C20" s="150"/>
      <c r="D20" s="150"/>
      <c r="E20" s="150"/>
      <c r="F20" s="150"/>
      <c r="G20" s="150"/>
      <c r="H20" s="150"/>
      <c r="I20" s="150"/>
      <c r="J20" s="150"/>
    </row>
    <row r="21" spans="1:11">
      <c r="A21" s="150"/>
      <c r="B21" s="150" t="s">
        <v>714</v>
      </c>
      <c r="C21" s="150"/>
      <c r="D21" s="150"/>
      <c r="E21" s="150"/>
      <c r="F21" s="150" t="s">
        <v>715</v>
      </c>
      <c r="G21" s="150"/>
      <c r="H21" s="150"/>
      <c r="I21" s="150"/>
      <c r="J21" s="150"/>
    </row>
    <row r="22" spans="1:11">
      <c r="A22" s="150"/>
      <c r="B22" s="150"/>
      <c r="C22" s="150"/>
      <c r="D22" s="150"/>
      <c r="E22" s="150"/>
      <c r="F22" s="150"/>
      <c r="G22" s="150"/>
      <c r="H22" s="150"/>
      <c r="I22" s="150"/>
      <c r="J22" s="150"/>
    </row>
    <row r="23" spans="1:11">
      <c r="A23" s="150"/>
      <c r="B23" s="150" t="s">
        <v>716</v>
      </c>
      <c r="C23" s="150"/>
      <c r="D23" s="150"/>
      <c r="E23" s="150"/>
      <c r="F23" s="150" t="s">
        <v>717</v>
      </c>
      <c r="G23" s="150"/>
      <c r="H23" s="150"/>
      <c r="I23" s="150"/>
      <c r="J23" s="150"/>
    </row>
    <row r="24" spans="1:11">
      <c r="A24" s="150"/>
      <c r="B24" s="150"/>
      <c r="C24" s="150"/>
      <c r="D24" s="150"/>
      <c r="E24" s="150"/>
      <c r="F24" s="150"/>
      <c r="G24" s="150"/>
      <c r="H24" s="150"/>
      <c r="I24" s="150"/>
      <c r="J24" s="150"/>
    </row>
    <row r="25" spans="1:11" ht="28.5" customHeight="1">
      <c r="A25" s="150"/>
      <c r="B25" s="841" t="s">
        <v>718</v>
      </c>
      <c r="C25" s="841"/>
      <c r="D25" s="841"/>
      <c r="E25" s="841"/>
      <c r="F25" s="841"/>
      <c r="G25" s="841"/>
      <c r="H25" s="841"/>
      <c r="I25" s="841"/>
      <c r="J25" s="841"/>
      <c r="K25" s="841"/>
    </row>
    <row r="26" spans="1:11">
      <c r="A26" s="150"/>
      <c r="B26" s="150"/>
      <c r="C26" s="150"/>
      <c r="D26" s="150"/>
      <c r="E26" s="150"/>
      <c r="F26" s="150"/>
      <c r="G26" s="150"/>
      <c r="H26" s="150"/>
      <c r="I26" s="150"/>
      <c r="J26" s="150"/>
    </row>
    <row r="27" spans="1:11">
      <c r="A27" s="150"/>
      <c r="B27" s="150" t="s">
        <v>719</v>
      </c>
      <c r="C27" s="150"/>
      <c r="D27" s="150"/>
      <c r="E27" s="150"/>
      <c r="F27" s="150" t="s">
        <v>720</v>
      </c>
      <c r="G27" s="150"/>
      <c r="H27" s="150"/>
      <c r="I27" s="150"/>
      <c r="J27" s="150"/>
    </row>
    <row r="28" spans="1:11">
      <c r="A28" s="150"/>
      <c r="B28" s="150"/>
      <c r="C28" s="150"/>
      <c r="D28" s="150"/>
      <c r="E28" s="150"/>
      <c r="F28" s="150"/>
      <c r="G28" s="150"/>
      <c r="H28" s="150"/>
      <c r="I28" s="150"/>
      <c r="J28" s="150"/>
    </row>
    <row r="29" spans="1:11">
      <c r="A29" s="150"/>
      <c r="B29" s="150" t="s">
        <v>721</v>
      </c>
      <c r="C29" s="150"/>
      <c r="D29" s="150"/>
      <c r="E29" s="150"/>
      <c r="F29" s="150" t="s">
        <v>722</v>
      </c>
      <c r="G29" s="150"/>
      <c r="H29" s="150"/>
      <c r="I29" s="150"/>
      <c r="J29" s="150"/>
    </row>
    <row r="30" spans="1:11">
      <c r="A30" s="150"/>
      <c r="B30" s="150"/>
      <c r="C30" s="150"/>
      <c r="D30" s="150"/>
      <c r="E30" s="150"/>
      <c r="F30" s="150"/>
      <c r="G30" s="150"/>
      <c r="H30" s="150"/>
      <c r="I30" s="150"/>
      <c r="J30" s="150"/>
    </row>
    <row r="31" spans="1:11">
      <c r="A31" s="150"/>
      <c r="B31" s="150"/>
      <c r="C31" s="150"/>
      <c r="D31" s="150"/>
      <c r="E31" s="150"/>
      <c r="F31" s="150"/>
      <c r="G31" s="150"/>
      <c r="H31" s="150"/>
      <c r="I31" s="150"/>
      <c r="J31" s="150"/>
    </row>
    <row r="32" spans="1:11">
      <c r="A32" s="150"/>
      <c r="B32" s="150" t="s">
        <v>956</v>
      </c>
      <c r="C32" s="150"/>
      <c r="D32" s="150"/>
      <c r="E32" s="150"/>
      <c r="F32" s="150"/>
      <c r="G32" s="150"/>
      <c r="H32" s="150"/>
      <c r="I32" s="150"/>
      <c r="J32" s="150"/>
    </row>
    <row r="33" spans="1:10">
      <c r="A33" s="150"/>
      <c r="B33" s="150" t="s">
        <v>958</v>
      </c>
      <c r="C33" s="150"/>
      <c r="D33" s="150"/>
      <c r="E33" s="150"/>
      <c r="F33" s="150"/>
      <c r="G33" s="150"/>
      <c r="H33" s="150"/>
      <c r="I33" s="150"/>
      <c r="J33" s="150"/>
    </row>
    <row r="34" spans="1:10">
      <c r="A34" s="150"/>
      <c r="B34" s="150" t="s">
        <v>957</v>
      </c>
      <c r="C34" s="150"/>
      <c r="D34" s="150"/>
      <c r="E34" s="150"/>
      <c r="F34" s="150"/>
      <c r="G34" s="150"/>
      <c r="H34" s="150"/>
      <c r="I34" s="150"/>
      <c r="J34" s="150"/>
    </row>
    <row r="35" spans="1:10">
      <c r="A35" s="150"/>
      <c r="B35" s="150"/>
      <c r="C35" s="150"/>
      <c r="D35" s="150"/>
      <c r="E35" s="150"/>
      <c r="F35" s="150"/>
      <c r="G35" s="150"/>
      <c r="H35" s="150"/>
      <c r="I35" s="150"/>
      <c r="J35" s="150"/>
    </row>
    <row r="36" spans="1:10">
      <c r="A36" s="150"/>
      <c r="B36" s="150" t="s">
        <v>959</v>
      </c>
      <c r="C36" s="150"/>
      <c r="D36" s="150"/>
      <c r="E36" s="150"/>
      <c r="F36" s="150"/>
      <c r="G36" s="150"/>
      <c r="H36" s="150"/>
      <c r="I36" s="150"/>
      <c r="J36" s="150"/>
    </row>
    <row r="37" spans="1:10">
      <c r="A37" s="150"/>
      <c r="B37" s="150" t="s">
        <v>960</v>
      </c>
      <c r="C37" s="150"/>
      <c r="D37" s="150"/>
      <c r="E37" s="150"/>
      <c r="F37" s="150"/>
      <c r="G37" s="150"/>
      <c r="H37" s="150"/>
      <c r="I37" s="150"/>
      <c r="J37" s="150"/>
    </row>
    <row r="38" spans="1:10">
      <c r="A38" s="150"/>
      <c r="B38" s="150"/>
      <c r="C38" s="150"/>
      <c r="D38" s="150"/>
      <c r="E38" s="150"/>
      <c r="F38" s="150"/>
      <c r="G38" s="150"/>
      <c r="H38" s="150"/>
      <c r="I38" s="150"/>
      <c r="J38" s="150"/>
    </row>
    <row r="39" spans="1:10">
      <c r="A39" s="150"/>
      <c r="B39" s="150" t="s">
        <v>961</v>
      </c>
      <c r="C39" s="150"/>
      <c r="D39" s="150"/>
      <c r="E39" s="150"/>
      <c r="F39" s="150"/>
      <c r="G39" s="150"/>
      <c r="H39" s="150"/>
      <c r="I39" s="150"/>
      <c r="J39" s="150"/>
    </row>
    <row r="40" spans="1:10">
      <c r="A40" s="150"/>
      <c r="B40" s="150" t="s">
        <v>962</v>
      </c>
      <c r="C40" s="150"/>
      <c r="D40" s="150"/>
      <c r="E40" s="150"/>
      <c r="F40" s="150"/>
      <c r="G40" s="150"/>
      <c r="H40" s="150"/>
      <c r="I40" s="150"/>
      <c r="J40" s="150"/>
    </row>
    <row r="41" spans="1:10">
      <c r="A41" s="150"/>
      <c r="B41" s="150" t="s">
        <v>964</v>
      </c>
      <c r="C41" s="150"/>
      <c r="D41" s="150"/>
      <c r="E41" s="150"/>
      <c r="F41" s="150"/>
      <c r="G41" s="150"/>
      <c r="H41" s="150"/>
      <c r="I41" s="150"/>
      <c r="J41" s="150"/>
    </row>
    <row r="42" spans="1:10">
      <c r="A42" s="150"/>
      <c r="B42" s="150" t="s">
        <v>963</v>
      </c>
      <c r="C42" s="150"/>
      <c r="D42" s="150"/>
      <c r="E42" s="150"/>
      <c r="F42" s="150"/>
      <c r="G42" s="150"/>
      <c r="H42" s="150"/>
      <c r="I42" s="150"/>
      <c r="J42" s="150"/>
    </row>
    <row r="43" spans="1:10">
      <c r="A43" s="150"/>
      <c r="B43" s="150"/>
      <c r="C43" s="150"/>
      <c r="D43" s="150"/>
      <c r="E43" s="150"/>
      <c r="F43" s="150"/>
      <c r="G43" s="150"/>
      <c r="H43" s="150"/>
      <c r="I43" s="150"/>
      <c r="J43" s="150"/>
    </row>
    <row r="44" spans="1:10" ht="12" customHeight="1">
      <c r="A44" s="150"/>
      <c r="B44" s="150"/>
      <c r="C44" s="150"/>
      <c r="D44" s="150"/>
      <c r="E44" s="150"/>
      <c r="F44" s="150"/>
      <c r="G44" s="150"/>
      <c r="H44" s="150"/>
      <c r="I44" s="150"/>
      <c r="J44" s="150"/>
    </row>
    <row r="45" spans="1:10" s="542" customFormat="1">
      <c r="A45" s="541"/>
      <c r="B45" s="541" t="s">
        <v>965</v>
      </c>
      <c r="C45" s="541"/>
      <c r="D45" s="541"/>
      <c r="E45" s="541"/>
      <c r="F45" s="541"/>
      <c r="G45" s="541"/>
      <c r="H45" s="541"/>
      <c r="I45" s="541"/>
      <c r="J45" s="541"/>
    </row>
    <row r="46" spans="1:10" s="542" customFormat="1">
      <c r="A46" s="541"/>
      <c r="B46" s="541" t="s">
        <v>966</v>
      </c>
      <c r="C46" s="541"/>
      <c r="D46" s="541"/>
      <c r="E46" s="541"/>
      <c r="F46" s="541"/>
      <c r="G46" s="541"/>
      <c r="H46" s="541"/>
      <c r="I46" s="541"/>
      <c r="J46" s="541"/>
    </row>
    <row r="47" spans="1:10" s="542" customFormat="1">
      <c r="A47" s="541"/>
      <c r="B47" s="541" t="s">
        <v>967</v>
      </c>
      <c r="C47" s="541"/>
      <c r="D47" s="541"/>
      <c r="E47" s="541"/>
      <c r="F47" s="541"/>
      <c r="G47" s="541"/>
      <c r="H47" s="541"/>
      <c r="I47" s="541"/>
      <c r="J47" s="541"/>
    </row>
    <row r="48" spans="1:10" s="542" customFormat="1">
      <c r="A48" s="541"/>
      <c r="B48" s="541" t="s">
        <v>969</v>
      </c>
      <c r="C48" s="541"/>
      <c r="D48" s="541"/>
      <c r="E48" s="541"/>
      <c r="F48" s="541"/>
      <c r="G48" s="541"/>
      <c r="H48" s="541"/>
      <c r="I48" s="541"/>
      <c r="J48" s="541"/>
    </row>
    <row r="49" spans="1:10" s="542" customFormat="1">
      <c r="A49" s="541"/>
      <c r="B49" s="541" t="s">
        <v>968</v>
      </c>
      <c r="C49" s="541"/>
      <c r="D49" s="541"/>
      <c r="E49" s="541"/>
      <c r="F49" s="541"/>
      <c r="G49" s="541"/>
      <c r="H49" s="541"/>
      <c r="I49" s="541"/>
      <c r="J49" s="541"/>
    </row>
    <row r="50" spans="1:10">
      <c r="A50" s="150"/>
      <c r="B50" s="150"/>
      <c r="C50" s="150"/>
      <c r="D50" s="150"/>
      <c r="E50" s="150"/>
      <c r="F50" s="150"/>
      <c r="G50" s="150"/>
      <c r="H50" s="150"/>
      <c r="I50" s="150"/>
      <c r="J50" s="150"/>
    </row>
    <row r="51" spans="1:10">
      <c r="A51" s="150"/>
      <c r="B51" s="150" t="s">
        <v>970</v>
      </c>
      <c r="C51" s="150"/>
      <c r="D51" s="150"/>
      <c r="E51" s="150"/>
      <c r="F51" s="150"/>
      <c r="G51" s="150"/>
      <c r="H51" s="150"/>
      <c r="I51" s="150"/>
      <c r="J51" s="150"/>
    </row>
    <row r="52" spans="1:10">
      <c r="A52" s="150"/>
      <c r="B52" s="150" t="s">
        <v>971</v>
      </c>
      <c r="C52" s="150"/>
      <c r="D52" s="150"/>
      <c r="E52" s="150"/>
      <c r="F52" s="150"/>
      <c r="G52" s="150"/>
      <c r="H52" s="150"/>
      <c r="I52" s="150"/>
      <c r="J52" s="150"/>
    </row>
    <row r="53" spans="1:10">
      <c r="A53" s="150"/>
      <c r="B53" s="150" t="s">
        <v>972</v>
      </c>
      <c r="C53" s="150"/>
      <c r="D53" s="150"/>
      <c r="E53" s="150"/>
      <c r="F53" s="150"/>
      <c r="G53" s="150"/>
      <c r="H53" s="150"/>
      <c r="I53" s="150"/>
      <c r="J53" s="150"/>
    </row>
    <row r="54" spans="1:10">
      <c r="A54" s="150"/>
      <c r="B54" s="150"/>
      <c r="C54" s="150"/>
      <c r="D54" s="150"/>
      <c r="E54" s="150"/>
      <c r="F54" s="150"/>
      <c r="G54" s="150"/>
      <c r="H54" s="150"/>
      <c r="I54" s="150"/>
      <c r="J54" s="150"/>
    </row>
    <row r="55" spans="1:10">
      <c r="A55" s="150"/>
      <c r="B55" s="150" t="s">
        <v>973</v>
      </c>
      <c r="C55" s="150"/>
      <c r="D55" s="150"/>
      <c r="E55" s="150"/>
      <c r="F55" s="150"/>
      <c r="G55" s="150"/>
      <c r="H55" s="150"/>
      <c r="I55" s="150"/>
      <c r="J55" s="150"/>
    </row>
    <row r="56" spans="1:10">
      <c r="A56" s="150"/>
      <c r="B56" s="150" t="s">
        <v>975</v>
      </c>
      <c r="C56" s="150"/>
      <c r="D56" s="150"/>
      <c r="E56" s="150"/>
      <c r="F56" s="150"/>
      <c r="G56" s="150"/>
      <c r="H56" s="150"/>
      <c r="I56" s="150"/>
      <c r="J56" s="150"/>
    </row>
    <row r="57" spans="1:10">
      <c r="A57" s="150"/>
      <c r="B57" s="150" t="s">
        <v>974</v>
      </c>
      <c r="C57" s="150"/>
      <c r="D57" s="150"/>
      <c r="E57" s="150"/>
      <c r="F57" s="150"/>
      <c r="G57" s="150"/>
      <c r="H57" s="150"/>
      <c r="I57" s="150"/>
      <c r="J57" s="150"/>
    </row>
    <row r="58" spans="1:10">
      <c r="A58" s="150"/>
      <c r="B58" s="150"/>
      <c r="C58" s="150"/>
      <c r="D58" s="150"/>
      <c r="E58" s="150"/>
      <c r="F58" s="150"/>
      <c r="G58" s="150"/>
      <c r="H58" s="150"/>
      <c r="I58" s="150"/>
      <c r="J58" s="150"/>
    </row>
    <row r="59" spans="1:10">
      <c r="A59" s="150"/>
      <c r="B59" s="150"/>
      <c r="C59" s="150"/>
      <c r="D59" s="150"/>
      <c r="E59" s="150"/>
      <c r="F59" s="150"/>
      <c r="G59" s="150"/>
      <c r="H59" s="150"/>
      <c r="I59" s="150"/>
      <c r="J59" s="150"/>
    </row>
    <row r="60" spans="1:10">
      <c r="A60" s="150"/>
      <c r="B60" s="150"/>
      <c r="C60" s="150"/>
      <c r="D60" s="150"/>
      <c r="E60" s="150"/>
      <c r="F60" s="150"/>
      <c r="G60" s="150"/>
      <c r="H60" s="150"/>
      <c r="I60" s="150"/>
      <c r="J60" s="150"/>
    </row>
    <row r="61" spans="1:10">
      <c r="A61" s="150"/>
      <c r="B61" s="150"/>
      <c r="C61" s="150"/>
      <c r="D61" s="150"/>
      <c r="E61" s="150"/>
      <c r="F61" s="150"/>
      <c r="G61" s="150"/>
      <c r="H61" s="150"/>
      <c r="I61" s="150"/>
      <c r="J61" s="150"/>
    </row>
    <row r="63" spans="1:10">
      <c r="B63" s="150"/>
    </row>
    <row r="64" spans="1:10">
      <c r="B64" s="150"/>
    </row>
  </sheetData>
  <mergeCells count="1">
    <mergeCell ref="B25:K25"/>
  </mergeCells>
  <pageMargins left="0.70866141732283472" right="0.70866141732283472" top="0.74803149606299213" bottom="0.74803149606299213" header="0.31496062992125984" footer="0.31496062992125984"/>
  <pageSetup paperSize="9" scale="79" orientation="portrait" r:id="rId1"/>
  <headerFooter>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view="pageBreakPreview" topLeftCell="A4" zoomScaleNormal="100" zoomScaleSheetLayoutView="100" zoomScalePageLayoutView="70" workbookViewId="0">
      <selection activeCell="A6" sqref="A6"/>
    </sheetView>
  </sheetViews>
  <sheetFormatPr defaultRowHeight="12.75"/>
  <cols>
    <col min="1" max="1" width="3" style="149" customWidth="1"/>
    <col min="2" max="2" width="2.7109375" style="149" customWidth="1"/>
    <col min="3" max="3" width="9.140625" style="149"/>
    <col min="4" max="4" width="12" style="149" customWidth="1"/>
    <col min="5" max="16384" width="9.140625" style="149"/>
  </cols>
  <sheetData>
    <row r="1" spans="1:12" s="480" customFormat="1" ht="30" customHeight="1">
      <c r="A1" s="480" t="s">
        <v>298</v>
      </c>
    </row>
    <row r="2" spans="1:12" s="481" customFormat="1" ht="19.5" customHeight="1">
      <c r="A2" s="481" t="s">
        <v>129</v>
      </c>
    </row>
    <row r="3" spans="1:12" s="485" customFormat="1" ht="15" customHeight="1" thickBot="1">
      <c r="A3" s="482"/>
      <c r="B3" s="483"/>
      <c r="C3" s="483"/>
      <c r="D3" s="483"/>
      <c r="E3" s="483"/>
      <c r="F3" s="483"/>
      <c r="G3" s="483"/>
      <c r="H3" s="483"/>
      <c r="I3" s="483"/>
      <c r="J3" s="483"/>
      <c r="K3" s="483"/>
      <c r="L3" s="484"/>
    </row>
    <row r="4" spans="1:12" s="487" customFormat="1" ht="15" customHeight="1">
      <c r="A4" s="486"/>
    </row>
    <row r="5" spans="1:12" s="491" customFormat="1" ht="15" customHeight="1">
      <c r="A5" s="489">
        <v>34</v>
      </c>
      <c r="B5" s="490" t="s">
        <v>702</v>
      </c>
      <c r="C5" s="490"/>
      <c r="E5" s="492"/>
      <c r="F5" s="493"/>
      <c r="G5" s="493"/>
      <c r="H5" s="493"/>
      <c r="I5" s="493"/>
      <c r="J5" s="493"/>
      <c r="K5" s="493"/>
      <c r="L5" s="493"/>
    </row>
    <row r="7" spans="1:12" s="538" customFormat="1" ht="12">
      <c r="A7" s="150"/>
      <c r="B7" s="150" t="s">
        <v>733</v>
      </c>
      <c r="C7" s="150"/>
      <c r="D7" s="150"/>
      <c r="E7" s="150"/>
      <c r="F7" s="150"/>
      <c r="G7" s="150"/>
      <c r="H7" s="150"/>
      <c r="I7" s="150"/>
      <c r="J7" s="150"/>
      <c r="K7" s="150"/>
    </row>
    <row r="8" spans="1:12" s="538" customFormat="1" ht="12">
      <c r="A8" s="150"/>
      <c r="B8" s="150" t="s">
        <v>732</v>
      </c>
      <c r="C8" s="150"/>
      <c r="D8" s="150"/>
      <c r="E8" s="150"/>
      <c r="F8" s="150"/>
      <c r="G8" s="150"/>
      <c r="H8" s="150"/>
      <c r="I8" s="150"/>
      <c r="J8" s="150"/>
      <c r="K8" s="150"/>
    </row>
    <row r="9" spans="1:12" s="538" customFormat="1" ht="12">
      <c r="A9" s="150"/>
      <c r="B9" s="150"/>
      <c r="C9" s="150"/>
      <c r="D9" s="150"/>
      <c r="E9" s="150"/>
      <c r="F9" s="150"/>
      <c r="G9" s="150"/>
      <c r="H9" s="150"/>
      <c r="I9" s="150"/>
      <c r="J9" s="150"/>
      <c r="K9" s="150"/>
    </row>
    <row r="10" spans="1:12" s="538" customFormat="1" ht="12">
      <c r="A10" s="150"/>
      <c r="B10" s="150" t="s">
        <v>734</v>
      </c>
      <c r="C10" s="150"/>
      <c r="D10" s="150"/>
      <c r="E10" s="150"/>
      <c r="F10" s="150"/>
      <c r="G10" s="150"/>
      <c r="H10" s="150"/>
      <c r="I10" s="150"/>
      <c r="J10" s="150"/>
      <c r="K10" s="150"/>
    </row>
    <row r="11" spans="1:12" s="538" customFormat="1" ht="12">
      <c r="A11" s="150"/>
      <c r="B11" s="150" t="s">
        <v>735</v>
      </c>
      <c r="C11" s="150"/>
      <c r="D11" s="150"/>
      <c r="E11" s="150"/>
      <c r="F11" s="150"/>
      <c r="G11" s="150"/>
      <c r="H11" s="150"/>
      <c r="I11" s="150"/>
      <c r="J11" s="150"/>
      <c r="K11" s="150"/>
    </row>
    <row r="12" spans="1:12" s="538" customFormat="1" ht="12">
      <c r="A12" s="150"/>
      <c r="B12" s="150" t="s">
        <v>736</v>
      </c>
      <c r="C12" s="150"/>
      <c r="D12" s="150"/>
      <c r="E12" s="150"/>
      <c r="F12" s="150"/>
      <c r="G12" s="150"/>
      <c r="H12" s="150"/>
      <c r="I12" s="150"/>
      <c r="J12" s="150"/>
      <c r="K12" s="150"/>
    </row>
    <row r="13" spans="1:12" s="538" customFormat="1" ht="12">
      <c r="A13" s="150"/>
      <c r="B13" s="150" t="s">
        <v>737</v>
      </c>
      <c r="C13" s="150"/>
      <c r="D13" s="150"/>
      <c r="E13" s="150"/>
      <c r="F13" s="150"/>
      <c r="G13" s="150"/>
      <c r="H13" s="150"/>
      <c r="I13" s="150"/>
      <c r="J13" s="150"/>
      <c r="K13" s="150"/>
    </row>
    <row r="14" spans="1:12" s="538" customFormat="1" ht="12">
      <c r="A14" s="150"/>
      <c r="B14" s="150"/>
      <c r="C14" s="150"/>
      <c r="D14" s="150"/>
      <c r="E14" s="150"/>
      <c r="F14" s="150"/>
      <c r="G14" s="150"/>
      <c r="H14" s="150"/>
      <c r="I14" s="150"/>
      <c r="J14" s="150"/>
      <c r="K14" s="150"/>
    </row>
    <row r="15" spans="1:12" s="538" customFormat="1" ht="12">
      <c r="A15" s="150"/>
      <c r="B15" s="543" t="s">
        <v>723</v>
      </c>
      <c r="C15" s="150"/>
      <c r="D15" s="150"/>
      <c r="E15" s="150"/>
      <c r="F15" s="150"/>
      <c r="G15" s="150"/>
      <c r="H15" s="150"/>
      <c r="I15" s="150"/>
      <c r="J15" s="150"/>
      <c r="K15" s="150"/>
    </row>
    <row r="16" spans="1:12" s="538" customFormat="1" ht="12">
      <c r="A16" s="150"/>
      <c r="B16" s="150" t="s">
        <v>739</v>
      </c>
      <c r="C16" s="150"/>
      <c r="D16" s="150"/>
      <c r="E16" s="150"/>
      <c r="F16" s="150"/>
      <c r="G16" s="150"/>
      <c r="H16" s="150"/>
      <c r="I16" s="150"/>
      <c r="J16" s="150"/>
      <c r="K16" s="150"/>
    </row>
    <row r="17" spans="1:11" s="538" customFormat="1" ht="12">
      <c r="A17" s="150"/>
      <c r="B17" s="150" t="s">
        <v>738</v>
      </c>
      <c r="C17" s="150"/>
      <c r="D17" s="150"/>
      <c r="E17" s="150"/>
      <c r="F17" s="150"/>
      <c r="G17" s="150"/>
      <c r="H17" s="150"/>
      <c r="I17" s="150"/>
      <c r="J17" s="150"/>
      <c r="K17" s="150"/>
    </row>
    <row r="18" spans="1:11" s="538" customFormat="1" ht="12">
      <c r="A18" s="150"/>
      <c r="B18" s="150"/>
      <c r="C18" s="150"/>
      <c r="D18" s="150"/>
      <c r="E18" s="150"/>
      <c r="F18" s="150"/>
      <c r="G18" s="150"/>
      <c r="H18" s="150"/>
      <c r="I18" s="150"/>
      <c r="J18" s="150"/>
      <c r="K18" s="150"/>
    </row>
    <row r="19" spans="1:11" s="538" customFormat="1" ht="12">
      <c r="A19" s="150"/>
      <c r="B19" s="543" t="s">
        <v>724</v>
      </c>
      <c r="C19" s="150"/>
      <c r="D19" s="150"/>
      <c r="E19" s="150"/>
      <c r="F19" s="150"/>
      <c r="G19" s="150"/>
      <c r="H19" s="150"/>
      <c r="I19" s="150"/>
      <c r="J19" s="150"/>
      <c r="K19" s="150"/>
    </row>
    <row r="20" spans="1:11" s="538" customFormat="1" ht="12">
      <c r="A20" s="150"/>
      <c r="B20" s="150" t="s">
        <v>725</v>
      </c>
      <c r="C20" s="150"/>
      <c r="D20" s="150"/>
      <c r="E20" s="150"/>
      <c r="F20" s="150"/>
      <c r="G20" s="150"/>
      <c r="H20" s="150"/>
      <c r="I20" s="150"/>
      <c r="J20" s="150"/>
      <c r="K20" s="150"/>
    </row>
    <row r="21" spans="1:11" s="538" customFormat="1" ht="12">
      <c r="A21" s="150"/>
      <c r="B21" s="150"/>
      <c r="C21" s="150"/>
      <c r="D21" s="150"/>
      <c r="E21" s="150"/>
      <c r="F21" s="150"/>
      <c r="G21" s="150"/>
      <c r="H21" s="150"/>
      <c r="I21" s="150"/>
      <c r="J21" s="150"/>
      <c r="K21" s="150"/>
    </row>
    <row r="22" spans="1:11" s="538" customFormat="1" ht="12">
      <c r="A22" s="150"/>
      <c r="B22" s="543" t="s">
        <v>726</v>
      </c>
      <c r="C22" s="150"/>
      <c r="D22" s="150"/>
      <c r="E22" s="150"/>
      <c r="F22" s="150"/>
      <c r="G22" s="150"/>
      <c r="H22" s="150"/>
      <c r="I22" s="150"/>
      <c r="J22" s="150"/>
      <c r="K22" s="150"/>
    </row>
    <row r="23" spans="1:11" s="538" customFormat="1" ht="12">
      <c r="A23" s="150"/>
      <c r="B23" s="150" t="s">
        <v>727</v>
      </c>
      <c r="C23" s="150"/>
      <c r="D23" s="150"/>
      <c r="E23" s="150"/>
      <c r="F23" s="150"/>
      <c r="G23" s="150"/>
      <c r="H23" s="150"/>
      <c r="I23" s="150"/>
      <c r="J23" s="150"/>
      <c r="K23" s="150"/>
    </row>
    <row r="24" spans="1:11" s="538" customFormat="1" ht="12">
      <c r="A24" s="150"/>
      <c r="B24" s="150"/>
      <c r="C24" s="150"/>
      <c r="D24" s="150"/>
      <c r="E24" s="150"/>
      <c r="F24" s="150"/>
      <c r="G24" s="150"/>
      <c r="H24" s="150"/>
      <c r="I24" s="150"/>
      <c r="J24" s="150"/>
      <c r="K24" s="150"/>
    </row>
    <row r="25" spans="1:11" s="538" customFormat="1" ht="12">
      <c r="A25" s="150"/>
      <c r="B25" s="543" t="s">
        <v>728</v>
      </c>
      <c r="C25" s="150"/>
      <c r="D25" s="150"/>
      <c r="E25" s="150"/>
      <c r="F25" s="150"/>
      <c r="G25" s="150"/>
      <c r="H25" s="150"/>
      <c r="I25" s="150"/>
      <c r="J25" s="150"/>
      <c r="K25" s="150"/>
    </row>
    <row r="26" spans="1:11" s="538" customFormat="1" ht="12">
      <c r="A26" s="150"/>
      <c r="B26" s="150" t="s">
        <v>729</v>
      </c>
      <c r="C26" s="150"/>
      <c r="D26" s="150"/>
      <c r="E26" s="150"/>
      <c r="F26" s="150"/>
      <c r="G26" s="150"/>
      <c r="H26" s="150"/>
      <c r="I26" s="150"/>
      <c r="J26" s="150"/>
      <c r="K26" s="150"/>
    </row>
    <row r="27" spans="1:11" s="538" customFormat="1" ht="12">
      <c r="A27" s="150"/>
      <c r="B27" s="150"/>
      <c r="C27" s="150"/>
      <c r="D27" s="150"/>
      <c r="E27" s="150"/>
      <c r="F27" s="150"/>
      <c r="G27" s="150"/>
      <c r="H27" s="150"/>
      <c r="I27" s="150"/>
      <c r="J27" s="150"/>
      <c r="K27" s="150"/>
    </row>
    <row r="28" spans="1:11" s="538" customFormat="1" ht="12">
      <c r="A28" s="150"/>
      <c r="B28" s="543" t="s">
        <v>730</v>
      </c>
      <c r="C28" s="150"/>
      <c r="D28" s="150"/>
      <c r="E28" s="150"/>
      <c r="F28" s="150"/>
      <c r="G28" s="150"/>
      <c r="H28" s="150"/>
      <c r="I28" s="150"/>
      <c r="J28" s="150"/>
      <c r="K28" s="150"/>
    </row>
    <row r="29" spans="1:11" s="538" customFormat="1" ht="12">
      <c r="A29" s="150"/>
      <c r="B29" s="150" t="s">
        <v>741</v>
      </c>
      <c r="C29" s="150"/>
      <c r="D29" s="150"/>
      <c r="E29" s="150"/>
      <c r="F29" s="150"/>
      <c r="G29" s="150"/>
      <c r="H29" s="150"/>
      <c r="I29" s="150"/>
      <c r="J29" s="150"/>
      <c r="K29" s="150"/>
    </row>
    <row r="30" spans="1:11" s="538" customFormat="1" ht="12">
      <c r="A30" s="150"/>
      <c r="B30" s="150" t="s">
        <v>740</v>
      </c>
      <c r="C30" s="150"/>
      <c r="D30" s="150"/>
      <c r="E30" s="150"/>
      <c r="F30" s="150"/>
      <c r="G30" s="150"/>
      <c r="H30" s="150"/>
      <c r="I30" s="150"/>
      <c r="J30" s="150"/>
      <c r="K30" s="150"/>
    </row>
    <row r="31" spans="1:11" s="538" customFormat="1" ht="12">
      <c r="A31" s="150"/>
      <c r="B31" s="150"/>
      <c r="C31" s="150"/>
      <c r="D31" s="150"/>
      <c r="E31" s="150"/>
      <c r="F31" s="150"/>
      <c r="G31" s="150"/>
      <c r="H31" s="150"/>
      <c r="I31" s="150"/>
      <c r="J31" s="150"/>
      <c r="K31" s="150"/>
    </row>
    <row r="32" spans="1:11" s="538" customFormat="1" ht="12">
      <c r="A32" s="150"/>
      <c r="B32" s="543" t="s">
        <v>731</v>
      </c>
      <c r="C32" s="150"/>
      <c r="D32" s="150"/>
      <c r="E32" s="150"/>
      <c r="F32" s="150"/>
      <c r="G32" s="150"/>
      <c r="H32" s="150"/>
      <c r="I32" s="150"/>
      <c r="J32" s="150"/>
      <c r="K32" s="150"/>
    </row>
    <row r="33" spans="1:11" s="538" customFormat="1" ht="12">
      <c r="A33" s="150"/>
      <c r="B33" s="150" t="s">
        <v>742</v>
      </c>
      <c r="C33" s="150"/>
      <c r="D33" s="150"/>
      <c r="E33" s="150"/>
      <c r="F33" s="150"/>
      <c r="G33" s="150"/>
      <c r="H33" s="150"/>
      <c r="I33" s="150"/>
      <c r="J33" s="150"/>
      <c r="K33" s="150"/>
    </row>
    <row r="34" spans="1:11" s="538" customFormat="1" ht="12">
      <c r="A34" s="150"/>
      <c r="B34" s="150" t="s">
        <v>743</v>
      </c>
      <c r="C34" s="150"/>
      <c r="D34" s="150"/>
      <c r="E34" s="150"/>
      <c r="F34" s="150"/>
      <c r="G34" s="150"/>
      <c r="H34" s="150"/>
      <c r="I34" s="150"/>
      <c r="J34" s="150"/>
      <c r="K34" s="150"/>
    </row>
    <row r="35" spans="1:11" s="538" customFormat="1" ht="12">
      <c r="A35" s="150"/>
      <c r="B35" s="150"/>
      <c r="C35" s="150"/>
      <c r="D35" s="150"/>
      <c r="E35" s="150"/>
      <c r="F35" s="150"/>
      <c r="G35" s="150"/>
      <c r="H35" s="150"/>
      <c r="I35" s="150"/>
      <c r="J35" s="150"/>
      <c r="K35" s="150"/>
    </row>
    <row r="36" spans="1:11" s="538" customFormat="1" ht="12"/>
    <row r="37" spans="1:11" s="538" customFormat="1" ht="12"/>
    <row r="38" spans="1:11" s="538" customFormat="1">
      <c r="B38" s="544"/>
      <c r="C38" s="545"/>
    </row>
    <row r="39" spans="1:11" s="538" customFormat="1" ht="13.15" customHeight="1">
      <c r="B39" s="544"/>
      <c r="C39" s="545"/>
    </row>
    <row r="40" spans="1:11" s="538" customFormat="1" ht="13.15" customHeight="1"/>
    <row r="41" spans="1:11" s="538" customFormat="1" ht="13.15" customHeight="1"/>
    <row r="42" spans="1:11" s="538" customFormat="1" ht="12"/>
    <row r="43" spans="1:11" s="538" customFormat="1" ht="12"/>
    <row r="44" spans="1:11" s="538" customFormat="1" ht="12"/>
    <row r="45" spans="1:11" s="538" customFormat="1" ht="12"/>
    <row r="46" spans="1:11" s="538" customFormat="1" ht="12"/>
    <row r="47" spans="1:11" s="538" customFormat="1" ht="12"/>
    <row r="48" spans="1:11" s="538" customFormat="1" ht="12"/>
    <row r="49" spans="2:11" s="538" customFormat="1" ht="12"/>
    <row r="50" spans="2:11" s="538" customFormat="1" ht="12"/>
    <row r="51" spans="2:11" s="538" customFormat="1" ht="12">
      <c r="B51" s="546"/>
    </row>
    <row r="52" spans="2:11" s="538" customFormat="1" ht="12">
      <c r="B52" s="546"/>
    </row>
    <row r="53" spans="2:11" s="538" customFormat="1">
      <c r="B53" s="804"/>
      <c r="C53" s="804"/>
      <c r="D53" s="804"/>
      <c r="E53" s="804"/>
      <c r="F53" s="804"/>
      <c r="G53" s="804"/>
      <c r="H53" s="804"/>
      <c r="I53" s="804"/>
      <c r="J53" s="804"/>
    </row>
    <row r="54" spans="2:11" s="545" customFormat="1" ht="13.15" customHeight="1"/>
    <row r="55" spans="2:11" s="545" customFormat="1"/>
    <row r="56" spans="2:11" s="545" customFormat="1"/>
    <row r="57" spans="2:11" s="545" customFormat="1"/>
    <row r="58" spans="2:11" s="545" customFormat="1"/>
    <row r="59" spans="2:11" s="545" customFormat="1"/>
    <row r="60" spans="2:11" s="545" customFormat="1"/>
    <row r="61" spans="2:11" s="538" customFormat="1" ht="12"/>
    <row r="62" spans="2:11">
      <c r="K62" s="538"/>
    </row>
  </sheetData>
  <mergeCells count="1">
    <mergeCell ref="B53:J53"/>
  </mergeCells>
  <pageMargins left="0.70866141732283472" right="0.70866141732283472" top="0.74803149606299213" bottom="0.74803149606299213" header="0.31496062992125984" footer="0.31496062992125984"/>
  <pageSetup paperSize="9" scale="87" orientation="portrait" r:id="rId1"/>
  <headerFooter>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view="pageBreakPreview" topLeftCell="A34" zoomScale="60" zoomScaleNormal="100" workbookViewId="0">
      <selection activeCell="A6" sqref="A6"/>
    </sheetView>
  </sheetViews>
  <sheetFormatPr defaultRowHeight="15"/>
  <cols>
    <col min="1" max="1" width="5.140625" customWidth="1"/>
    <col min="14" max="14" width="9.140625" customWidth="1"/>
    <col min="15" max="15" width="2.85546875" customWidth="1"/>
    <col min="16" max="16" width="17.5703125" customWidth="1"/>
  </cols>
  <sheetData>
    <row r="1" spans="1:16" ht="23.25">
      <c r="A1" s="547" t="s">
        <v>298</v>
      </c>
      <c r="B1" s="547"/>
      <c r="C1" s="547"/>
      <c r="D1" s="547"/>
      <c r="E1" s="547"/>
      <c r="F1" s="547"/>
      <c r="G1" s="547"/>
      <c r="H1" s="547"/>
    </row>
    <row r="2" spans="1:16" ht="18">
      <c r="A2" s="548" t="s">
        <v>129</v>
      </c>
      <c r="B2" s="548"/>
      <c r="C2" s="548"/>
      <c r="D2" s="548"/>
      <c r="E2" s="548"/>
      <c r="F2" s="548"/>
      <c r="G2" s="548"/>
      <c r="H2" s="548"/>
    </row>
    <row r="3" spans="1:16" ht="18.75" thickBot="1">
      <c r="A3" s="549"/>
      <c r="B3" s="550"/>
      <c r="C3" s="550"/>
      <c r="D3" s="550"/>
      <c r="E3" s="550"/>
      <c r="F3" s="550"/>
      <c r="G3" s="550"/>
      <c r="H3" s="550"/>
      <c r="I3" s="550"/>
      <c r="J3" s="550"/>
      <c r="K3" s="550"/>
      <c r="L3" s="550"/>
      <c r="M3" s="550"/>
      <c r="N3" s="550"/>
      <c r="O3" s="550"/>
      <c r="P3" s="550"/>
    </row>
    <row r="5" spans="1:16" ht="15.75">
      <c r="A5" s="551">
        <v>34</v>
      </c>
      <c r="B5" s="203" t="s">
        <v>702</v>
      </c>
    </row>
    <row r="6" spans="1:16" ht="15.75">
      <c r="A6" s="551"/>
      <c r="B6" s="203"/>
    </row>
    <row r="7" spans="1:16" ht="15.75">
      <c r="A7" s="180"/>
      <c r="B7" s="206" t="s">
        <v>744</v>
      </c>
    </row>
    <row r="8" spans="1:16" ht="15.75">
      <c r="A8" s="180"/>
      <c r="B8" s="206" t="s">
        <v>745</v>
      </c>
    </row>
    <row r="9" spans="1:16" ht="15.75">
      <c r="A9" s="180"/>
      <c r="B9" s="206" t="s">
        <v>746</v>
      </c>
    </row>
    <row r="11" spans="1:16" ht="15.75">
      <c r="B11" s="206" t="s">
        <v>747</v>
      </c>
    </row>
    <row r="12" spans="1:16" ht="15.75">
      <c r="B12" s="206" t="s">
        <v>748</v>
      </c>
    </row>
    <row r="13" spans="1:16" ht="15.75">
      <c r="B13" s="206" t="s">
        <v>749</v>
      </c>
    </row>
    <row r="14" spans="1:16" ht="15.75">
      <c r="B14" s="206" t="s">
        <v>750</v>
      </c>
    </row>
    <row r="15" spans="1:16" ht="15.75">
      <c r="B15" s="552" t="s">
        <v>751</v>
      </c>
    </row>
    <row r="16" spans="1:16" ht="15.75">
      <c r="B16" s="206" t="s">
        <v>752</v>
      </c>
    </row>
    <row r="17" spans="2:14" ht="15.75">
      <c r="B17" s="206"/>
    </row>
    <row r="18" spans="2:14" ht="15.75">
      <c r="B18" s="206" t="s">
        <v>753</v>
      </c>
    </row>
    <row r="19" spans="2:14" ht="15.75">
      <c r="B19" s="206" t="s">
        <v>754</v>
      </c>
    </row>
    <row r="21" spans="2:14" ht="15.75">
      <c r="B21" s="206" t="s">
        <v>755</v>
      </c>
    </row>
    <row r="22" spans="2:14" ht="15.75">
      <c r="B22" s="206" t="s">
        <v>756</v>
      </c>
    </row>
    <row r="23" spans="2:14" ht="15.75">
      <c r="B23" s="206" t="s">
        <v>757</v>
      </c>
    </row>
    <row r="24" spans="2:14" ht="15.75">
      <c r="B24" s="206" t="s">
        <v>758</v>
      </c>
    </row>
    <row r="25" spans="2:14" ht="15.75">
      <c r="B25" s="206" t="s">
        <v>759</v>
      </c>
    </row>
    <row r="26" spans="2:14" ht="15.75">
      <c r="B26" s="206" t="s">
        <v>760</v>
      </c>
    </row>
    <row r="27" spans="2:14" ht="15.75">
      <c r="B27" s="206" t="s">
        <v>761</v>
      </c>
    </row>
    <row r="28" spans="2:14" ht="15.75">
      <c r="B28" s="206" t="s">
        <v>762</v>
      </c>
    </row>
    <row r="30" spans="2:14" ht="15.75">
      <c r="B30" s="553" t="s">
        <v>763</v>
      </c>
      <c r="C30" s="180"/>
      <c r="D30" s="180"/>
      <c r="E30" s="180"/>
      <c r="F30" s="180"/>
      <c r="G30" s="553" t="s">
        <v>764</v>
      </c>
      <c r="H30" s="180"/>
      <c r="I30" s="180"/>
      <c r="J30" s="180"/>
      <c r="K30" s="180"/>
      <c r="L30" s="553" t="s">
        <v>765</v>
      </c>
      <c r="M30" s="180"/>
      <c r="N30" s="180"/>
    </row>
    <row r="31" spans="2:14" ht="15.75">
      <c r="B31" s="180"/>
      <c r="C31" s="180"/>
      <c r="D31" s="180"/>
      <c r="E31" s="180"/>
      <c r="F31" s="180"/>
      <c r="G31" s="180"/>
      <c r="H31" s="180"/>
      <c r="I31" s="180"/>
      <c r="J31" s="180"/>
      <c r="K31" s="180"/>
      <c r="L31" s="180"/>
      <c r="M31" s="180"/>
      <c r="N31" s="180"/>
    </row>
    <row r="32" spans="2:14" ht="15.75">
      <c r="B32" s="554" t="s">
        <v>766</v>
      </c>
      <c r="C32" s="554"/>
      <c r="D32" s="555"/>
      <c r="E32" s="556"/>
      <c r="F32" s="555"/>
      <c r="G32" s="554" t="s">
        <v>767</v>
      </c>
      <c r="H32" s="555"/>
      <c r="I32" s="555"/>
      <c r="J32" s="555"/>
      <c r="K32" s="555"/>
      <c r="L32" s="554" t="s">
        <v>768</v>
      </c>
      <c r="M32" s="555"/>
      <c r="N32" s="555"/>
    </row>
    <row r="33" spans="2:17" ht="15.75">
      <c r="B33" s="557" t="s">
        <v>769</v>
      </c>
      <c r="C33" s="557"/>
      <c r="D33" s="180"/>
      <c r="E33" s="557"/>
      <c r="F33" s="180"/>
      <c r="G33" s="557" t="s">
        <v>767</v>
      </c>
      <c r="H33" s="180"/>
      <c r="I33" s="180"/>
      <c r="J33" s="180"/>
      <c r="K33" s="180"/>
      <c r="L33" s="557" t="s">
        <v>770</v>
      </c>
      <c r="M33" s="180"/>
      <c r="N33" s="180"/>
    </row>
    <row r="34" spans="2:17" ht="15.75">
      <c r="B34" s="206" t="s">
        <v>771</v>
      </c>
      <c r="C34" s="206"/>
      <c r="D34" s="180"/>
      <c r="E34" s="206"/>
      <c r="F34" s="180"/>
      <c r="G34" s="206"/>
      <c r="H34" s="180"/>
      <c r="I34" s="180"/>
      <c r="J34" s="180"/>
      <c r="K34" s="180"/>
      <c r="L34" s="206"/>
      <c r="M34" s="180"/>
      <c r="N34" s="180"/>
    </row>
    <row r="35" spans="2:17" ht="15.75">
      <c r="B35" s="554" t="s">
        <v>772</v>
      </c>
      <c r="C35" s="554"/>
      <c r="D35" s="555"/>
      <c r="E35" s="554"/>
      <c r="F35" s="555"/>
      <c r="G35" s="554" t="s">
        <v>773</v>
      </c>
      <c r="H35" s="555"/>
      <c r="I35" s="555"/>
      <c r="J35" s="555"/>
      <c r="K35" s="555"/>
      <c r="L35" s="554" t="s">
        <v>774</v>
      </c>
      <c r="M35" s="555"/>
      <c r="N35" s="555"/>
    </row>
    <row r="36" spans="2:17" ht="15.75">
      <c r="B36" s="557" t="s">
        <v>775</v>
      </c>
      <c r="C36" s="557"/>
      <c r="D36" s="180"/>
      <c r="E36" s="557"/>
      <c r="F36" s="180"/>
      <c r="G36" s="557" t="s">
        <v>776</v>
      </c>
      <c r="H36" s="180"/>
      <c r="I36" s="180"/>
      <c r="J36" s="180"/>
      <c r="K36" s="180"/>
      <c r="L36" s="557" t="s">
        <v>777</v>
      </c>
      <c r="M36" s="180"/>
      <c r="N36" s="180"/>
    </row>
    <row r="37" spans="2:17" ht="15.75">
      <c r="B37" s="206" t="s">
        <v>778</v>
      </c>
      <c r="C37" s="206"/>
      <c r="D37" s="180"/>
      <c r="E37" s="206"/>
      <c r="F37" s="180"/>
      <c r="G37" s="206"/>
      <c r="H37" s="180"/>
      <c r="I37" s="180"/>
      <c r="J37" s="180"/>
      <c r="K37" s="180"/>
      <c r="L37" s="206"/>
      <c r="M37" s="180"/>
      <c r="N37" s="180"/>
    </row>
    <row r="38" spans="2:17" ht="15.75">
      <c r="B38" s="554" t="s">
        <v>779</v>
      </c>
      <c r="C38" s="554"/>
      <c r="D38" s="555"/>
      <c r="E38" s="554"/>
      <c r="F38" s="555"/>
      <c r="G38" s="554" t="s">
        <v>780</v>
      </c>
      <c r="H38" s="555"/>
      <c r="I38" s="555"/>
      <c r="J38" s="555"/>
      <c r="K38" s="555"/>
      <c r="L38" s="554" t="s">
        <v>781</v>
      </c>
      <c r="M38" s="555"/>
      <c r="N38" s="555"/>
    </row>
    <row r="39" spans="2:17" ht="15.75">
      <c r="B39" s="180"/>
      <c r="C39" s="180"/>
      <c r="D39" s="180"/>
      <c r="E39" s="180"/>
      <c r="F39" s="180"/>
      <c r="G39" s="180"/>
      <c r="H39" s="180"/>
      <c r="I39" s="180"/>
      <c r="J39" s="180"/>
      <c r="K39" s="180"/>
      <c r="L39" s="180"/>
      <c r="M39" s="180"/>
      <c r="N39" s="180"/>
    </row>
    <row r="40" spans="2:17" ht="15.75">
      <c r="B40" s="180"/>
      <c r="C40" s="180"/>
      <c r="D40" s="180"/>
      <c r="E40" s="180"/>
      <c r="F40" s="180"/>
      <c r="G40" s="180"/>
      <c r="H40" s="180"/>
      <c r="I40" s="180"/>
      <c r="J40" s="180"/>
      <c r="K40" s="180"/>
      <c r="L40" s="180"/>
      <c r="M40" s="180"/>
      <c r="N40" s="180"/>
    </row>
    <row r="41" spans="2:17" ht="15.75">
      <c r="B41" s="206" t="s">
        <v>782</v>
      </c>
      <c r="C41" s="180"/>
      <c r="D41" s="180"/>
      <c r="E41" s="180"/>
      <c r="F41" s="180"/>
      <c r="G41" s="180"/>
      <c r="H41" s="180"/>
      <c r="I41" s="180"/>
      <c r="J41" s="180"/>
      <c r="K41" s="180"/>
      <c r="L41" s="180"/>
      <c r="M41" s="180"/>
      <c r="N41" s="180"/>
    </row>
    <row r="42" spans="2:17" ht="15.75">
      <c r="B42" s="206" t="s">
        <v>783</v>
      </c>
      <c r="C42" s="180"/>
      <c r="D42" s="180"/>
      <c r="E42" s="180"/>
      <c r="F42" s="180"/>
      <c r="G42" s="180"/>
      <c r="H42" s="180"/>
      <c r="I42" s="180"/>
      <c r="J42" s="180"/>
      <c r="K42" s="180"/>
      <c r="L42" s="180"/>
      <c r="M42" s="180"/>
      <c r="N42" s="180"/>
    </row>
    <row r="43" spans="2:17" ht="15.75">
      <c r="B43" s="206" t="s">
        <v>784</v>
      </c>
      <c r="C43" s="180"/>
      <c r="D43" s="180"/>
      <c r="E43" s="180"/>
      <c r="F43" s="180"/>
      <c r="G43" s="180"/>
      <c r="H43" s="180"/>
      <c r="I43" s="180"/>
      <c r="J43" s="180"/>
      <c r="K43" s="180"/>
      <c r="L43" s="180"/>
      <c r="M43" s="180"/>
      <c r="N43" s="180"/>
    </row>
    <row r="44" spans="2:17" ht="15.75">
      <c r="B44" s="180"/>
      <c r="C44" s="180"/>
      <c r="D44" s="180"/>
      <c r="E44" s="180"/>
      <c r="F44" s="180"/>
      <c r="G44" s="180"/>
      <c r="H44" s="180"/>
      <c r="I44" s="180"/>
      <c r="J44" s="180"/>
      <c r="K44" s="180"/>
      <c r="L44" s="180"/>
      <c r="M44" s="180"/>
      <c r="N44" s="180"/>
    </row>
    <row r="45" spans="2:17" ht="15" customHeight="1">
      <c r="B45" s="558" t="s">
        <v>785</v>
      </c>
      <c r="C45" s="559"/>
      <c r="D45" s="559"/>
      <c r="E45" s="559"/>
      <c r="F45" s="559"/>
      <c r="G45" s="559"/>
      <c r="H45" s="559"/>
      <c r="I45" s="559"/>
      <c r="J45" s="559"/>
      <c r="K45" s="559"/>
      <c r="L45" s="559"/>
      <c r="M45" s="559"/>
      <c r="N45" s="559"/>
      <c r="O45" s="559"/>
      <c r="P45" s="559"/>
      <c r="Q45" s="559"/>
    </row>
    <row r="46" spans="2:17" ht="15.75">
      <c r="B46" s="558" t="s">
        <v>786</v>
      </c>
      <c r="C46" s="559"/>
      <c r="D46" s="559"/>
      <c r="E46" s="559"/>
      <c r="F46" s="559"/>
      <c r="G46" s="559"/>
      <c r="H46" s="559"/>
      <c r="I46" s="559"/>
      <c r="J46" s="559"/>
      <c r="K46" s="559"/>
      <c r="L46" s="559"/>
      <c r="M46" s="559"/>
      <c r="N46" s="559"/>
      <c r="O46" s="559"/>
      <c r="P46" s="559"/>
      <c r="Q46" s="559"/>
    </row>
    <row r="47" spans="2:17" ht="15.75">
      <c r="B47" s="558" t="s">
        <v>787</v>
      </c>
      <c r="C47" s="559"/>
      <c r="D47" s="559"/>
      <c r="E47" s="559"/>
      <c r="F47" s="559"/>
      <c r="G47" s="559"/>
      <c r="H47" s="559"/>
      <c r="I47" s="559"/>
      <c r="J47" s="559"/>
      <c r="K47" s="559"/>
      <c r="L47" s="559"/>
      <c r="M47" s="559"/>
      <c r="N47" s="559"/>
      <c r="O47" s="559"/>
      <c r="P47" s="559"/>
      <c r="Q47" s="559"/>
    </row>
    <row r="48" spans="2:17" ht="15.75">
      <c r="B48" s="558" t="s">
        <v>788</v>
      </c>
      <c r="C48" s="559"/>
      <c r="D48" s="559"/>
      <c r="E48" s="559"/>
      <c r="F48" s="559"/>
      <c r="G48" s="559"/>
      <c r="H48" s="559"/>
      <c r="I48" s="559"/>
      <c r="J48" s="559"/>
      <c r="K48" s="559"/>
      <c r="L48" s="559"/>
      <c r="M48" s="559"/>
      <c r="N48" s="559"/>
      <c r="O48" s="559"/>
      <c r="P48" s="559"/>
      <c r="Q48" s="559"/>
    </row>
    <row r="49" spans="2:17" ht="15" customHeight="1">
      <c r="B49" s="560" t="s">
        <v>789</v>
      </c>
      <c r="C49" s="559"/>
      <c r="D49" s="559"/>
      <c r="E49" s="559"/>
      <c r="F49" s="559"/>
      <c r="G49" s="559"/>
      <c r="H49" s="559"/>
      <c r="I49" s="559"/>
      <c r="J49" s="559"/>
      <c r="K49" s="559"/>
      <c r="L49" s="559"/>
      <c r="M49" s="559"/>
      <c r="N49" s="559"/>
      <c r="O49" s="559"/>
      <c r="P49" s="559"/>
      <c r="Q49" s="559"/>
    </row>
    <row r="50" spans="2:17" ht="15" customHeight="1">
      <c r="B50" s="558" t="s">
        <v>790</v>
      </c>
      <c r="C50" s="559"/>
      <c r="D50" s="559"/>
      <c r="E50" s="559"/>
      <c r="F50" s="559"/>
      <c r="G50" s="559"/>
      <c r="H50" s="559"/>
      <c r="I50" s="559"/>
      <c r="J50" s="559"/>
      <c r="K50" s="559"/>
      <c r="L50" s="559"/>
      <c r="M50" s="559"/>
      <c r="N50" s="559"/>
      <c r="O50" s="559"/>
      <c r="P50" s="559"/>
      <c r="Q50" s="559"/>
    </row>
    <row r="51" spans="2:17" ht="15.75" customHeight="1">
      <c r="B51" s="558" t="s">
        <v>791</v>
      </c>
      <c r="C51" s="559"/>
      <c r="D51" s="559"/>
      <c r="E51" s="559"/>
      <c r="F51" s="559"/>
      <c r="G51" s="559"/>
      <c r="H51" s="559"/>
      <c r="I51" s="559"/>
      <c r="J51" s="559"/>
      <c r="K51" s="559"/>
      <c r="L51" s="559"/>
      <c r="M51" s="559"/>
      <c r="N51" s="559"/>
      <c r="O51" s="559"/>
      <c r="P51" s="559"/>
      <c r="Q51" s="559"/>
    </row>
    <row r="52" spans="2:17" ht="15.75">
      <c r="B52" s="558" t="s">
        <v>792</v>
      </c>
      <c r="C52" s="180"/>
      <c r="D52" s="180"/>
      <c r="E52" s="180"/>
      <c r="F52" s="180"/>
      <c r="G52" s="180"/>
      <c r="H52" s="180"/>
      <c r="I52" s="180"/>
      <c r="J52" s="180"/>
      <c r="K52" s="180"/>
      <c r="L52" s="180"/>
      <c r="M52" s="180"/>
      <c r="N52" s="180"/>
    </row>
    <row r="53" spans="2:17" ht="15.75">
      <c r="B53" s="558" t="s">
        <v>793</v>
      </c>
      <c r="C53" s="180"/>
      <c r="D53" s="180"/>
      <c r="E53" s="180"/>
      <c r="F53" s="180"/>
      <c r="G53" s="180"/>
      <c r="H53" s="180"/>
      <c r="I53" s="180"/>
      <c r="J53" s="180"/>
      <c r="K53" s="180"/>
      <c r="L53" s="180"/>
      <c r="M53" s="180"/>
      <c r="N53" s="180"/>
    </row>
    <row r="54" spans="2:17" ht="15.75">
      <c r="B54" s="180"/>
      <c r="C54" s="180"/>
      <c r="D54" s="180"/>
      <c r="E54" s="180"/>
      <c r="F54" s="180"/>
      <c r="G54" s="180"/>
      <c r="H54" s="180"/>
      <c r="I54" s="180"/>
      <c r="J54" s="180"/>
      <c r="K54" s="180"/>
      <c r="L54" s="180"/>
      <c r="M54" s="180"/>
      <c r="N54" s="180"/>
    </row>
    <row r="55" spans="2:17" ht="15.75">
      <c r="B55" s="206" t="s">
        <v>794</v>
      </c>
      <c r="C55" s="180"/>
      <c r="D55" s="180"/>
      <c r="E55" s="180"/>
      <c r="F55" s="180"/>
      <c r="G55" s="180"/>
      <c r="H55" s="180"/>
      <c r="I55" s="180"/>
      <c r="J55" s="180"/>
      <c r="K55" s="180"/>
      <c r="L55" s="180"/>
      <c r="M55" s="180"/>
      <c r="N55" s="180"/>
    </row>
    <row r="56" spans="2:17" ht="15.75">
      <c r="B56" s="180"/>
      <c r="C56" s="180"/>
      <c r="D56" s="180"/>
      <c r="E56" s="180"/>
      <c r="F56" s="180"/>
      <c r="G56" s="180"/>
      <c r="H56" s="180"/>
      <c r="I56" s="180"/>
      <c r="J56" s="180"/>
      <c r="K56" s="180"/>
      <c r="L56" s="180"/>
      <c r="M56" s="180"/>
      <c r="N56" s="180"/>
    </row>
    <row r="57" spans="2:17" ht="15.75">
      <c r="B57" s="206" t="s">
        <v>795</v>
      </c>
      <c r="C57" s="180"/>
      <c r="D57" s="180"/>
      <c r="E57" s="180"/>
      <c r="F57" s="180"/>
      <c r="G57" s="180"/>
      <c r="H57" s="180"/>
      <c r="I57" s="180"/>
      <c r="J57" s="180"/>
      <c r="K57" s="180"/>
      <c r="L57" s="180"/>
      <c r="M57" s="180"/>
      <c r="N57" s="180"/>
    </row>
    <row r="58" spans="2:17" ht="15.75">
      <c r="B58" s="44" t="s">
        <v>796</v>
      </c>
      <c r="C58" s="180"/>
      <c r="D58" s="180"/>
      <c r="E58" s="180"/>
      <c r="F58" s="180"/>
      <c r="G58" s="180"/>
      <c r="H58" s="180"/>
      <c r="I58" s="180"/>
      <c r="J58" s="180"/>
      <c r="K58" s="180"/>
      <c r="L58" s="180"/>
      <c r="M58" s="180"/>
      <c r="N58" s="180"/>
    </row>
    <row r="59" spans="2:17" ht="15.75">
      <c r="B59" s="206" t="s">
        <v>797</v>
      </c>
      <c r="C59" s="180"/>
      <c r="D59" s="180"/>
      <c r="E59" s="180"/>
      <c r="F59" s="180"/>
      <c r="G59" s="180"/>
      <c r="H59" s="180"/>
      <c r="I59" s="180"/>
      <c r="J59" s="180"/>
      <c r="K59" s="180"/>
      <c r="L59" s="180"/>
      <c r="M59" s="180"/>
      <c r="N59" s="180"/>
    </row>
    <row r="60" spans="2:17" ht="15.75">
      <c r="B60" s="44" t="s">
        <v>801</v>
      </c>
      <c r="C60" s="180"/>
      <c r="D60" s="180"/>
      <c r="E60" s="180"/>
      <c r="F60" s="180"/>
      <c r="G60" s="180"/>
      <c r="H60" s="180"/>
      <c r="I60" s="180"/>
      <c r="J60" s="180"/>
      <c r="K60" s="180"/>
      <c r="L60" s="180"/>
      <c r="M60" s="180"/>
      <c r="N60" s="180"/>
    </row>
    <row r="61" spans="2:17" ht="15.75">
      <c r="B61" s="206" t="s">
        <v>802</v>
      </c>
      <c r="C61" s="180"/>
      <c r="D61" s="180"/>
      <c r="E61" s="180"/>
      <c r="F61" s="180"/>
      <c r="G61" s="180"/>
      <c r="H61" s="180"/>
      <c r="I61" s="180"/>
      <c r="J61" s="180"/>
      <c r="K61" s="180"/>
      <c r="L61" s="180"/>
      <c r="M61" s="180"/>
      <c r="N61" s="180"/>
    </row>
    <row r="62" spans="2:17" ht="15.75">
      <c r="B62" s="44" t="s">
        <v>803</v>
      </c>
      <c r="C62" s="180"/>
      <c r="D62" s="180"/>
      <c r="E62" s="180"/>
      <c r="F62" s="180"/>
      <c r="G62" s="180"/>
      <c r="H62" s="180"/>
      <c r="I62" s="180"/>
      <c r="J62" s="180"/>
      <c r="K62" s="180"/>
      <c r="L62" s="180"/>
      <c r="M62" s="180"/>
      <c r="N62" s="180"/>
    </row>
    <row r="63" spans="2:17" ht="15.75">
      <c r="B63" s="206" t="s">
        <v>804</v>
      </c>
      <c r="C63" s="180"/>
      <c r="D63" s="180"/>
      <c r="E63" s="180"/>
      <c r="F63" s="180"/>
      <c r="G63" s="180"/>
      <c r="H63" s="180"/>
      <c r="I63" s="180"/>
      <c r="J63" s="180"/>
      <c r="K63" s="180"/>
      <c r="L63" s="180"/>
      <c r="M63" s="180"/>
      <c r="N63" s="180"/>
    </row>
    <row r="64" spans="2:17" ht="15.75">
      <c r="B64" s="180"/>
      <c r="C64" s="180"/>
      <c r="D64" s="180"/>
      <c r="E64" s="180"/>
      <c r="F64" s="180"/>
      <c r="G64" s="180"/>
      <c r="H64" s="180"/>
      <c r="I64" s="180"/>
      <c r="J64" s="180"/>
      <c r="K64" s="180"/>
      <c r="L64" s="180"/>
      <c r="M64" s="180"/>
      <c r="N64" s="180"/>
    </row>
    <row r="65" spans="2:14" ht="15.75">
      <c r="B65" s="206" t="s">
        <v>798</v>
      </c>
      <c r="C65" s="180"/>
      <c r="D65" s="180"/>
      <c r="E65" s="180"/>
      <c r="F65" s="180"/>
      <c r="G65" s="180"/>
      <c r="H65" s="180"/>
      <c r="I65" s="180"/>
      <c r="J65" s="180"/>
      <c r="K65" s="180"/>
      <c r="L65" s="180"/>
      <c r="M65" s="180"/>
      <c r="N65" s="180"/>
    </row>
    <row r="66" spans="2:14" ht="15.75">
      <c r="B66" s="206" t="s">
        <v>799</v>
      </c>
      <c r="C66" s="180"/>
      <c r="D66" s="180"/>
      <c r="E66" s="180"/>
      <c r="F66" s="180"/>
      <c r="G66" s="180"/>
      <c r="H66" s="180"/>
      <c r="I66" s="180"/>
      <c r="J66" s="180"/>
      <c r="K66" s="180"/>
      <c r="L66" s="180"/>
      <c r="M66" s="180"/>
      <c r="N66" s="180"/>
    </row>
    <row r="67" spans="2:14" ht="15.75">
      <c r="B67" s="206" t="s">
        <v>800</v>
      </c>
      <c r="C67" s="180"/>
      <c r="D67" s="180"/>
      <c r="E67" s="180"/>
      <c r="F67" s="180"/>
      <c r="G67" s="180"/>
      <c r="H67" s="180"/>
      <c r="I67" s="180"/>
      <c r="J67" s="180"/>
      <c r="K67" s="180"/>
      <c r="L67" s="180"/>
      <c r="M67" s="180"/>
      <c r="N67" s="180"/>
    </row>
    <row r="68" spans="2:14" ht="15.75">
      <c r="B68" s="206"/>
    </row>
    <row r="69" spans="2:14" ht="15.75">
      <c r="B69" s="206"/>
    </row>
  </sheetData>
  <pageMargins left="0.70866141732283472" right="0.70866141732283472" top="0.74803149606299213" bottom="0.74803149606299213" header="0.31496062992125984" footer="0.31496062992125984"/>
  <pageSetup paperSize="9" scale="60" orientation="portrait" horizontalDpi="1200" verticalDpi="1200"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topLeftCell="A13" zoomScale="55" zoomScaleNormal="100" zoomScaleSheetLayoutView="55" workbookViewId="0">
      <selection activeCell="E48" sqref="E48"/>
    </sheetView>
  </sheetViews>
  <sheetFormatPr defaultRowHeight="15"/>
  <cols>
    <col min="1" max="1" width="25.5703125" customWidth="1"/>
    <col min="2" max="3" width="31.28515625" customWidth="1"/>
    <col min="4" max="4" width="11.5703125" customWidth="1"/>
    <col min="5" max="5" width="14.140625" customWidth="1"/>
    <col min="6" max="6" width="4.7109375" customWidth="1"/>
    <col min="7" max="7" width="13.140625" customWidth="1"/>
    <col min="8" max="8" width="4.7109375" customWidth="1"/>
    <col min="9" max="9" width="16" customWidth="1"/>
    <col min="10" max="10" width="4.7109375" customWidth="1"/>
    <col min="11" max="11" width="17.5703125" customWidth="1"/>
    <col min="12" max="12" width="4.7109375" customWidth="1"/>
    <col min="13" max="13" width="20.28515625" customWidth="1"/>
    <col min="14" max="14" width="4.7109375" customWidth="1"/>
    <col min="15" max="15" width="16.42578125" customWidth="1"/>
    <col min="16" max="16" width="4.7109375" customWidth="1"/>
    <col min="17" max="17" width="12.5703125" bestFit="1" customWidth="1"/>
  </cols>
  <sheetData>
    <row r="1" spans="1:17" ht="23.25">
      <c r="A1" s="48" t="s">
        <v>53</v>
      </c>
    </row>
    <row r="2" spans="1:17" ht="18">
      <c r="A2" s="49" t="s">
        <v>18</v>
      </c>
    </row>
    <row r="3" spans="1:17" ht="15.75" thickBot="1">
      <c r="A3" s="50"/>
      <c r="B3" s="50"/>
      <c r="C3" s="63"/>
      <c r="D3" s="50"/>
      <c r="E3" s="50"/>
      <c r="F3" s="63"/>
      <c r="G3" s="50"/>
      <c r="H3" s="63"/>
      <c r="I3" s="50"/>
      <c r="J3" s="63"/>
      <c r="K3" s="50"/>
      <c r="L3" s="63"/>
      <c r="M3" s="50"/>
      <c r="N3" s="63"/>
      <c r="O3" s="50"/>
      <c r="P3" s="63"/>
      <c r="Q3" s="50"/>
    </row>
    <row r="5" spans="1:17" ht="63" customHeight="1">
      <c r="A5" s="51" t="s">
        <v>21</v>
      </c>
      <c r="E5" s="807" t="s">
        <v>60</v>
      </c>
      <c r="F5" s="807"/>
      <c r="G5" s="807"/>
      <c r="H5" s="807"/>
      <c r="I5" s="807"/>
      <c r="J5" s="90"/>
      <c r="K5" s="56" t="s">
        <v>61</v>
      </c>
      <c r="L5" s="90"/>
      <c r="M5" s="57" t="s">
        <v>62</v>
      </c>
      <c r="N5" s="90"/>
      <c r="O5" s="58" t="s">
        <v>63</v>
      </c>
      <c r="P5" s="90"/>
      <c r="Q5" s="59" t="s">
        <v>64</v>
      </c>
    </row>
    <row r="6" spans="1:17" ht="15.75">
      <c r="A6" s="51"/>
      <c r="E6" s="55" t="s">
        <v>65</v>
      </c>
      <c r="F6" s="55"/>
      <c r="G6" s="45" t="s">
        <v>66</v>
      </c>
      <c r="H6" s="45"/>
      <c r="I6" s="46" t="s">
        <v>67</v>
      </c>
      <c r="J6" s="46"/>
      <c r="K6" s="47"/>
      <c r="L6" s="47"/>
      <c r="M6" s="47"/>
      <c r="N6" s="47"/>
      <c r="O6" s="47"/>
      <c r="P6" s="47"/>
    </row>
    <row r="7" spans="1:17" ht="15.75">
      <c r="A7" s="52"/>
      <c r="E7" s="60" t="s">
        <v>68</v>
      </c>
      <c r="F7" s="92"/>
      <c r="G7" s="60" t="s">
        <v>68</v>
      </c>
      <c r="H7" s="92"/>
      <c r="I7" s="60" t="s">
        <v>68</v>
      </c>
      <c r="J7" s="92"/>
      <c r="K7" s="60" t="s">
        <v>68</v>
      </c>
      <c r="L7" s="92"/>
      <c r="M7" s="60" t="s">
        <v>68</v>
      </c>
      <c r="N7" s="92"/>
      <c r="O7" s="60" t="s">
        <v>68</v>
      </c>
      <c r="P7" s="92"/>
      <c r="Q7" s="60" t="s">
        <v>68</v>
      </c>
    </row>
    <row r="8" spans="1:17" ht="15.75">
      <c r="A8" s="52"/>
      <c r="E8" s="685"/>
      <c r="F8" s="685"/>
      <c r="G8" s="685"/>
      <c r="H8" s="685"/>
      <c r="I8" s="685"/>
      <c r="J8" s="685"/>
      <c r="K8" s="685"/>
      <c r="L8" s="685"/>
      <c r="M8" s="685"/>
      <c r="N8" s="685"/>
      <c r="O8" s="685"/>
      <c r="P8" s="685"/>
      <c r="Q8" s="685"/>
    </row>
    <row r="9" spans="1:17" ht="15.75">
      <c r="A9" s="54" t="s">
        <v>54</v>
      </c>
      <c r="E9" s="94">
        <v>381</v>
      </c>
      <c r="F9" s="94"/>
      <c r="G9" s="94">
        <v>839</v>
      </c>
      <c r="H9" s="94"/>
      <c r="I9" s="94">
        <v>85869</v>
      </c>
      <c r="J9" s="94"/>
      <c r="K9" s="94">
        <v>24655</v>
      </c>
      <c r="L9" s="94"/>
      <c r="M9" s="94">
        <f>SUM(E9:K9)</f>
        <v>111744</v>
      </c>
      <c r="N9" s="94"/>
      <c r="O9" s="94">
        <v>-12</v>
      </c>
      <c r="P9" s="94"/>
      <c r="Q9" s="94">
        <f>SUM(M9:O9)</f>
        <v>111732</v>
      </c>
    </row>
    <row r="10" spans="1:17" ht="15.75">
      <c r="A10" s="54"/>
      <c r="E10" s="685"/>
      <c r="F10" s="685"/>
      <c r="G10" s="685"/>
      <c r="H10" s="685"/>
      <c r="I10" s="685"/>
      <c r="J10" s="685"/>
      <c r="K10" s="685"/>
      <c r="L10" s="685"/>
      <c r="M10" s="685"/>
      <c r="N10" s="685"/>
      <c r="O10" s="685"/>
      <c r="P10" s="685"/>
      <c r="Q10" s="685"/>
    </row>
    <row r="11" spans="1:17" ht="15.75">
      <c r="A11" s="53" t="s">
        <v>55</v>
      </c>
      <c r="E11" s="685">
        <f>CSCI!H52-E14</f>
        <v>2168</v>
      </c>
      <c r="F11" s="685"/>
      <c r="G11" s="685">
        <f>CSCI!H53-G14</f>
        <v>854</v>
      </c>
      <c r="H11" s="685"/>
      <c r="I11" s="685">
        <f>CSCI!H54-SUM(CSCR!I12:I14)</f>
        <v>6632</v>
      </c>
      <c r="J11" s="685"/>
      <c r="K11" s="165">
        <v>0</v>
      </c>
      <c r="L11" s="685"/>
      <c r="M11" s="685">
        <f>SUM(E11:K11)</f>
        <v>9654</v>
      </c>
      <c r="N11" s="685"/>
      <c r="O11" s="165">
        <v>0</v>
      </c>
      <c r="P11" s="685"/>
      <c r="Q11" s="673">
        <f>SUM(M11:O11)</f>
        <v>9654</v>
      </c>
    </row>
    <row r="12" spans="1:17" ht="15.75">
      <c r="A12" s="53" t="s">
        <v>56</v>
      </c>
      <c r="E12" s="165">
        <v>0</v>
      </c>
      <c r="F12" s="674"/>
      <c r="G12" s="165">
        <v>0</v>
      </c>
      <c r="H12" s="685"/>
      <c r="I12" s="685">
        <f>CSCI!H47</f>
        <v>2067</v>
      </c>
      <c r="J12" s="685"/>
      <c r="K12" s="165">
        <v>0</v>
      </c>
      <c r="L12" s="685"/>
      <c r="M12" s="685">
        <f t="shared" ref="M12:M14" si="0">SUM(E12:K12)</f>
        <v>2067</v>
      </c>
      <c r="N12" s="685"/>
      <c r="O12" s="165">
        <v>0</v>
      </c>
      <c r="P12" s="685"/>
      <c r="Q12" s="673">
        <f t="shared" ref="Q12:Q14" si="1">SUM(M12:O12)</f>
        <v>2067</v>
      </c>
    </row>
    <row r="13" spans="1:17" ht="15.75">
      <c r="A13" s="53" t="s">
        <v>57</v>
      </c>
      <c r="E13" s="165">
        <v>0</v>
      </c>
      <c r="F13" s="674"/>
      <c r="G13" s="165">
        <v>0</v>
      </c>
      <c r="H13" s="685"/>
      <c r="I13" s="685">
        <v>4280</v>
      </c>
      <c r="J13" s="685"/>
      <c r="K13" s="685">
        <v>-4280</v>
      </c>
      <c r="L13" s="685"/>
      <c r="M13" s="165">
        <f t="shared" si="0"/>
        <v>0</v>
      </c>
      <c r="N13" s="685"/>
      <c r="O13" s="165">
        <v>0</v>
      </c>
      <c r="P13" s="685"/>
      <c r="Q13" s="673">
        <f t="shared" si="1"/>
        <v>0</v>
      </c>
    </row>
    <row r="14" spans="1:17" ht="15.75">
      <c r="A14" s="53" t="s">
        <v>1133</v>
      </c>
      <c r="E14" s="685">
        <f>'Note 25'!L19</f>
        <v>-928</v>
      </c>
      <c r="F14" s="674"/>
      <c r="G14" s="685">
        <f>'Note 26 &amp; 27'!K18+'Note 26 &amp; 27'!K19</f>
        <v>-225</v>
      </c>
      <c r="H14" s="685"/>
      <c r="I14" s="685">
        <f>-E14-G14</f>
        <v>1153</v>
      </c>
      <c r="J14" s="685"/>
      <c r="K14" s="165">
        <v>0</v>
      </c>
      <c r="L14" s="685"/>
      <c r="M14" s="165">
        <f t="shared" si="0"/>
        <v>0</v>
      </c>
      <c r="N14" s="685"/>
      <c r="O14" s="165">
        <v>0</v>
      </c>
      <c r="P14" s="685"/>
      <c r="Q14" s="673">
        <f t="shared" si="1"/>
        <v>0</v>
      </c>
    </row>
    <row r="15" spans="1:17" ht="15.75">
      <c r="A15" s="53"/>
      <c r="E15" s="165"/>
      <c r="F15" s="685"/>
      <c r="G15" s="686"/>
      <c r="H15" s="685"/>
      <c r="I15" s="686"/>
      <c r="J15" s="685"/>
      <c r="K15" s="686"/>
      <c r="L15" s="685"/>
      <c r="M15" s="686"/>
      <c r="N15" s="685"/>
      <c r="O15" s="686"/>
      <c r="P15" s="685"/>
      <c r="Q15" s="686"/>
    </row>
    <row r="16" spans="1:17" ht="15.75">
      <c r="A16" s="93" t="s">
        <v>43</v>
      </c>
      <c r="E16" s="687">
        <f>SUM(E11:E15)</f>
        <v>1240</v>
      </c>
      <c r="F16" s="685"/>
      <c r="G16" s="685">
        <f>SUM(G11:G15)</f>
        <v>629</v>
      </c>
      <c r="H16" s="685"/>
      <c r="I16" s="685">
        <f>SUM(I11:I15)</f>
        <v>14132</v>
      </c>
      <c r="J16" s="685"/>
      <c r="K16" s="685">
        <f>SUM(K11:K15)</f>
        <v>-4280</v>
      </c>
      <c r="L16" s="685"/>
      <c r="M16" s="685">
        <f>SUM(M11:M15)</f>
        <v>11721</v>
      </c>
      <c r="N16" s="685"/>
      <c r="O16" s="678">
        <f>SUM(O11:O15)</f>
        <v>0</v>
      </c>
      <c r="P16" s="685"/>
      <c r="Q16" s="685">
        <f>SUM(Q11:Q15)</f>
        <v>11721</v>
      </c>
    </row>
    <row r="17" spans="1:17" ht="15.75">
      <c r="A17" s="53"/>
      <c r="E17" s="688"/>
      <c r="F17" s="180"/>
      <c r="G17" s="688"/>
      <c r="H17" s="180"/>
      <c r="I17" s="688"/>
      <c r="J17" s="180"/>
      <c r="K17" s="688"/>
      <c r="L17" s="180"/>
      <c r="M17" s="688"/>
      <c r="N17" s="180"/>
      <c r="O17" s="688"/>
      <c r="P17" s="180"/>
      <c r="Q17" s="688"/>
    </row>
    <row r="18" spans="1:17" ht="15.75">
      <c r="A18" s="54" t="s">
        <v>58</v>
      </c>
      <c r="E18" s="689">
        <f>E9+E16</f>
        <v>1621</v>
      </c>
      <c r="F18" s="180"/>
      <c r="G18" s="689">
        <f>G9+G16</f>
        <v>1468</v>
      </c>
      <c r="H18" s="180"/>
      <c r="I18" s="689">
        <f>I9+I16</f>
        <v>100001</v>
      </c>
      <c r="J18" s="180"/>
      <c r="K18" s="689">
        <f>K9+K16</f>
        <v>20375</v>
      </c>
      <c r="L18" s="180"/>
      <c r="M18" s="689">
        <f>M9+M16</f>
        <v>123465</v>
      </c>
      <c r="N18" s="180"/>
      <c r="O18" s="689">
        <f>O9+O16</f>
        <v>-12</v>
      </c>
      <c r="P18" s="180"/>
      <c r="Q18" s="689">
        <f>Q9+Q16</f>
        <v>123453</v>
      </c>
    </row>
    <row r="19" spans="1:17" ht="15.75">
      <c r="A19" s="53"/>
      <c r="E19" s="180"/>
      <c r="F19" s="180"/>
      <c r="G19" s="180"/>
      <c r="H19" s="180"/>
      <c r="I19" s="180"/>
      <c r="J19" s="180"/>
      <c r="K19" s="180"/>
      <c r="L19" s="180"/>
      <c r="M19" s="180"/>
      <c r="N19" s="180"/>
      <c r="O19" s="180"/>
      <c r="P19" s="180"/>
      <c r="Q19" s="180"/>
    </row>
    <row r="20" spans="1:17" ht="15.75">
      <c r="A20" s="53" t="s">
        <v>55</v>
      </c>
      <c r="E20" s="685">
        <f>CSCI!F52-E23</f>
        <v>2129</v>
      </c>
      <c r="F20" s="685"/>
      <c r="G20" s="685">
        <f>CSCI!F53-G23</f>
        <v>673</v>
      </c>
      <c r="H20" s="685"/>
      <c r="I20" s="685">
        <f>CSCI!F54-SUM(I21:I23)</f>
        <v>15259</v>
      </c>
      <c r="J20" s="685"/>
      <c r="K20" s="165">
        <v>0</v>
      </c>
      <c r="L20" s="685"/>
      <c r="M20" s="685">
        <f t="shared" ref="M20:M23" si="2">SUM(E20:K20)</f>
        <v>18061</v>
      </c>
      <c r="N20" s="685"/>
      <c r="O20" s="685">
        <v>-42</v>
      </c>
      <c r="P20" s="685"/>
      <c r="Q20" s="685">
        <f>SUM(M20:O20)</f>
        <v>18019</v>
      </c>
    </row>
    <row r="21" spans="1:17" ht="15.75">
      <c r="A21" s="53" t="s">
        <v>56</v>
      </c>
      <c r="E21" s="165">
        <v>0</v>
      </c>
      <c r="F21" s="165"/>
      <c r="G21" s="165">
        <v>0</v>
      </c>
      <c r="H21" s="685"/>
      <c r="I21" s="685">
        <f>CSCI!F47</f>
        <v>-220</v>
      </c>
      <c r="J21" s="685"/>
      <c r="K21" s="685">
        <f>CSCI!F46</f>
        <v>2520</v>
      </c>
      <c r="L21" s="685"/>
      <c r="M21" s="685">
        <f t="shared" si="2"/>
        <v>2300</v>
      </c>
      <c r="N21" s="685"/>
      <c r="O21" s="165">
        <v>0</v>
      </c>
      <c r="P21" s="685"/>
      <c r="Q21" s="685">
        <f t="shared" ref="Q21:Q23" si="3">SUM(M21:O21)</f>
        <v>2300</v>
      </c>
    </row>
    <row r="22" spans="1:17" ht="15.75">
      <c r="A22" s="53" t="s">
        <v>57</v>
      </c>
      <c r="E22" s="165">
        <v>0</v>
      </c>
      <c r="F22" s="165"/>
      <c r="G22" s="165">
        <v>0</v>
      </c>
      <c r="H22" s="685"/>
      <c r="I22" s="685">
        <v>5160</v>
      </c>
      <c r="J22" s="685"/>
      <c r="K22" s="685">
        <v>-5160</v>
      </c>
      <c r="L22" s="685"/>
      <c r="M22" s="165">
        <f t="shared" si="2"/>
        <v>0</v>
      </c>
      <c r="N22" s="685"/>
      <c r="O22" s="165">
        <v>0</v>
      </c>
      <c r="P22" s="685"/>
      <c r="Q22" s="165">
        <f t="shared" si="3"/>
        <v>0</v>
      </c>
    </row>
    <row r="23" spans="1:17" ht="15.75">
      <c r="A23" s="53" t="s">
        <v>1133</v>
      </c>
      <c r="E23" s="685">
        <f>'Note 25'!K19</f>
        <v>-887</v>
      </c>
      <c r="F23" s="685"/>
      <c r="G23" s="685">
        <f>'Note 26 &amp; 27'!J18+'Note 26 &amp; 27'!J19</f>
        <v>-695</v>
      </c>
      <c r="H23" s="685"/>
      <c r="I23" s="685">
        <f>-G23-E23</f>
        <v>1582</v>
      </c>
      <c r="J23" s="685"/>
      <c r="K23" s="165">
        <v>0</v>
      </c>
      <c r="L23" s="685"/>
      <c r="M23" s="165">
        <f t="shared" si="2"/>
        <v>0</v>
      </c>
      <c r="N23" s="685"/>
      <c r="O23" s="165">
        <v>0</v>
      </c>
      <c r="P23" s="685"/>
      <c r="Q23" s="165">
        <f t="shared" si="3"/>
        <v>0</v>
      </c>
    </row>
    <row r="24" spans="1:17" ht="15.75">
      <c r="A24" s="53"/>
      <c r="E24" s="685"/>
      <c r="F24" s="685"/>
      <c r="G24" s="685"/>
      <c r="H24" s="685"/>
      <c r="I24" s="685"/>
      <c r="J24" s="685"/>
      <c r="K24" s="685"/>
      <c r="L24" s="685"/>
      <c r="M24" s="685"/>
      <c r="N24" s="685"/>
      <c r="O24" s="685"/>
      <c r="P24" s="685"/>
      <c r="Q24" s="685"/>
    </row>
    <row r="25" spans="1:17" ht="15.75">
      <c r="A25" s="93" t="s">
        <v>43</v>
      </c>
      <c r="D25" s="180"/>
      <c r="E25" s="687">
        <f>SUM(E20:E24)</f>
        <v>1242</v>
      </c>
      <c r="F25" s="685"/>
      <c r="G25" s="687">
        <f>SUM(G20:G24)</f>
        <v>-22</v>
      </c>
      <c r="H25" s="685"/>
      <c r="I25" s="687">
        <f>SUM(I20:I24)</f>
        <v>21781</v>
      </c>
      <c r="J25" s="685"/>
      <c r="K25" s="687">
        <f>SUM(K20:K24)</f>
        <v>-2640</v>
      </c>
      <c r="L25" s="685"/>
      <c r="M25" s="687">
        <f>SUM(M20:M24)</f>
        <v>20361</v>
      </c>
      <c r="N25" s="685"/>
      <c r="O25" s="792">
        <f>SUM(O20:O23)</f>
        <v>-42</v>
      </c>
      <c r="P25" s="685"/>
      <c r="Q25" s="687">
        <f>SUM(Q20:Q24)</f>
        <v>20319</v>
      </c>
    </row>
    <row r="26" spans="1:17" ht="15.75">
      <c r="A26" s="53"/>
      <c r="E26" s="180"/>
      <c r="F26" s="180"/>
      <c r="G26" s="180"/>
      <c r="H26" s="180"/>
      <c r="I26" s="180"/>
      <c r="J26" s="180"/>
      <c r="K26" s="180"/>
      <c r="L26" s="180"/>
      <c r="M26" s="180"/>
      <c r="N26" s="180"/>
      <c r="O26" s="180"/>
      <c r="P26" s="180"/>
      <c r="Q26" s="180"/>
    </row>
    <row r="27" spans="1:17" ht="16.5" thickBot="1">
      <c r="A27" s="54" t="s">
        <v>59</v>
      </c>
      <c r="E27" s="690">
        <f>+E18+E25</f>
        <v>2863</v>
      </c>
      <c r="F27" s="691"/>
      <c r="G27" s="690">
        <f>+G18+G25</f>
        <v>1446</v>
      </c>
      <c r="H27" s="691"/>
      <c r="I27" s="690">
        <f>+I18+I25</f>
        <v>121782</v>
      </c>
      <c r="J27" s="691"/>
      <c r="K27" s="690">
        <f>+K18+K25</f>
        <v>17735</v>
      </c>
      <c r="L27" s="691"/>
      <c r="M27" s="690">
        <f>+M18+M25</f>
        <v>143826</v>
      </c>
      <c r="N27" s="691"/>
      <c r="O27" s="690">
        <f>+O18+O25</f>
        <v>-54</v>
      </c>
      <c r="P27" s="691"/>
      <c r="Q27" s="690">
        <f>+Q18+Q25</f>
        <v>143772</v>
      </c>
    </row>
    <row r="28" spans="1:17" ht="16.5" thickTop="1">
      <c r="A28" s="53"/>
      <c r="E28" s="180"/>
      <c r="F28" s="180"/>
      <c r="G28" s="180"/>
      <c r="H28" s="180"/>
      <c r="I28" s="180"/>
      <c r="J28" s="180"/>
      <c r="K28" s="180"/>
      <c r="L28" s="180"/>
      <c r="M28" s="180"/>
      <c r="N28" s="180"/>
      <c r="O28" s="180"/>
      <c r="P28" s="180"/>
      <c r="Q28" s="180"/>
    </row>
    <row r="29" spans="1:17" ht="15.75">
      <c r="A29" s="53"/>
    </row>
    <row r="30" spans="1:17" ht="47.25">
      <c r="A30" s="51" t="s">
        <v>22</v>
      </c>
      <c r="E30" s="807" t="s">
        <v>60</v>
      </c>
      <c r="F30" s="807"/>
      <c r="G30" s="807"/>
      <c r="H30" s="807"/>
      <c r="I30" s="807"/>
      <c r="J30" s="90"/>
      <c r="K30" s="90" t="s">
        <v>61</v>
      </c>
      <c r="L30" s="90"/>
      <c r="M30" s="90" t="s">
        <v>62</v>
      </c>
      <c r="N30" s="90"/>
      <c r="O30" s="90" t="s">
        <v>63</v>
      </c>
      <c r="P30" s="90"/>
      <c r="Q30" s="89" t="s">
        <v>64</v>
      </c>
    </row>
    <row r="31" spans="1:17" ht="15.75">
      <c r="A31" s="52"/>
      <c r="E31" s="55" t="s">
        <v>65</v>
      </c>
      <c r="F31" s="55"/>
      <c r="G31" s="45" t="s">
        <v>66</v>
      </c>
      <c r="H31" s="45"/>
      <c r="I31" s="46" t="s">
        <v>67</v>
      </c>
      <c r="J31" s="46"/>
      <c r="K31" s="47"/>
      <c r="L31" s="47"/>
      <c r="M31" s="47"/>
      <c r="N31" s="47"/>
      <c r="O31" s="47"/>
      <c r="P31" s="47"/>
    </row>
    <row r="32" spans="1:17" ht="15.75">
      <c r="A32" s="52"/>
      <c r="E32" s="92" t="s">
        <v>68</v>
      </c>
      <c r="F32" s="92"/>
      <c r="G32" s="92" t="s">
        <v>68</v>
      </c>
      <c r="H32" s="92"/>
      <c r="I32" s="92" t="s">
        <v>68</v>
      </c>
      <c r="J32" s="92"/>
      <c r="K32" s="92" t="s">
        <v>68</v>
      </c>
      <c r="L32" s="92"/>
      <c r="M32" s="92" t="s">
        <v>68</v>
      </c>
      <c r="N32" s="92"/>
      <c r="O32" s="92" t="s">
        <v>68</v>
      </c>
      <c r="P32" s="92"/>
      <c r="Q32" s="92" t="s">
        <v>68</v>
      </c>
    </row>
    <row r="33" spans="1:20" ht="15.75">
      <c r="A33" s="52"/>
      <c r="D33" s="180"/>
      <c r="E33" s="180"/>
      <c r="F33" s="180"/>
      <c r="G33" s="180"/>
      <c r="H33" s="180"/>
      <c r="I33" s="180"/>
      <c r="J33" s="180"/>
      <c r="K33" s="180"/>
      <c r="L33" s="180"/>
      <c r="M33" s="180"/>
      <c r="N33" s="180"/>
      <c r="O33" s="180"/>
      <c r="P33" s="180"/>
      <c r="Q33" s="180"/>
    </row>
    <row r="34" spans="1:20" ht="15.75">
      <c r="A34" s="54" t="s">
        <v>54</v>
      </c>
      <c r="D34" s="180"/>
      <c r="E34" s="694">
        <f>'Note 25'!L15</f>
        <v>381</v>
      </c>
      <c r="F34" s="694"/>
      <c r="G34" s="694">
        <f>'Note 26 &amp; 27'!K13</f>
        <v>839</v>
      </c>
      <c r="H34" s="694"/>
      <c r="I34" s="694">
        <v>84108</v>
      </c>
      <c r="J34" s="694"/>
      <c r="K34" s="694">
        <v>24655</v>
      </c>
      <c r="L34" s="694"/>
      <c r="M34" s="694">
        <f>SUM(E34:K34)</f>
        <v>109983</v>
      </c>
      <c r="N34" s="694"/>
      <c r="O34" s="165">
        <v>0</v>
      </c>
      <c r="P34" s="694"/>
      <c r="Q34" s="694">
        <f>SUM(M34:O34)</f>
        <v>109983</v>
      </c>
      <c r="R34" s="675"/>
      <c r="S34" s="675"/>
      <c r="T34" s="675"/>
    </row>
    <row r="35" spans="1:20" ht="15.75">
      <c r="A35" s="54"/>
      <c r="D35" s="180"/>
      <c r="E35" s="685"/>
      <c r="F35" s="685"/>
      <c r="G35" s="685"/>
      <c r="H35" s="685"/>
      <c r="I35" s="685"/>
      <c r="J35" s="685"/>
      <c r="K35" s="685"/>
      <c r="L35" s="685"/>
      <c r="M35" s="685"/>
      <c r="N35" s="685"/>
      <c r="O35" s="685"/>
      <c r="P35" s="685"/>
      <c r="Q35" s="685"/>
    </row>
    <row r="36" spans="1:20" ht="15.75">
      <c r="A36" s="53" t="s">
        <v>55</v>
      </c>
      <c r="D36" s="180"/>
      <c r="E36" s="685">
        <f>CSCI!I52</f>
        <v>1240</v>
      </c>
      <c r="F36" s="685"/>
      <c r="G36" s="685">
        <f>CSCI!I53</f>
        <v>629</v>
      </c>
      <c r="H36" s="685"/>
      <c r="I36" s="685">
        <f>CSCI!I54-CSCR!I37-CSCR!I38</f>
        <v>8096</v>
      </c>
      <c r="J36" s="685"/>
      <c r="K36" s="165">
        <v>0</v>
      </c>
      <c r="L36" s="685"/>
      <c r="M36" s="685">
        <f t="shared" ref="M36:M37" si="4">SUM(E36:K36)</f>
        <v>9965</v>
      </c>
      <c r="N36" s="685"/>
      <c r="O36" s="165">
        <v>0</v>
      </c>
      <c r="P36" s="685"/>
      <c r="Q36" s="685">
        <f t="shared" ref="Q36:Q39" si="5">SUM(M36:O36)</f>
        <v>9965</v>
      </c>
    </row>
    <row r="37" spans="1:20" ht="15.75">
      <c r="A37" s="53" t="s">
        <v>56</v>
      </c>
      <c r="D37" s="180"/>
      <c r="E37" s="165">
        <v>0</v>
      </c>
      <c r="F37" s="165"/>
      <c r="G37" s="165">
        <v>0</v>
      </c>
      <c r="H37" s="685"/>
      <c r="I37" s="685">
        <f>CSCI!H47</f>
        <v>2067</v>
      </c>
      <c r="J37" s="685"/>
      <c r="K37" s="165">
        <v>0</v>
      </c>
      <c r="L37" s="685"/>
      <c r="M37" s="685">
        <f t="shared" si="4"/>
        <v>2067</v>
      </c>
      <c r="N37" s="685"/>
      <c r="O37" s="165">
        <v>0</v>
      </c>
      <c r="P37" s="685"/>
      <c r="Q37" s="685">
        <f t="shared" si="5"/>
        <v>2067</v>
      </c>
    </row>
    <row r="38" spans="1:20" ht="15.75">
      <c r="A38" s="53" t="s">
        <v>57</v>
      </c>
      <c r="D38" s="180"/>
      <c r="E38" s="165">
        <v>0</v>
      </c>
      <c r="F38" s="165"/>
      <c r="G38" s="165">
        <v>0</v>
      </c>
      <c r="H38" s="685"/>
      <c r="I38" s="685">
        <v>4280</v>
      </c>
      <c r="J38" s="685"/>
      <c r="K38" s="685">
        <v>-4280</v>
      </c>
      <c r="L38" s="685"/>
      <c r="M38" s="165">
        <v>0</v>
      </c>
      <c r="N38" s="685"/>
      <c r="O38" s="165">
        <v>0</v>
      </c>
      <c r="P38" s="685"/>
      <c r="Q38" s="165">
        <f t="shared" si="5"/>
        <v>0</v>
      </c>
    </row>
    <row r="39" spans="1:20" ht="15.75">
      <c r="A39" s="53" t="s">
        <v>1133</v>
      </c>
      <c r="D39" s="180"/>
      <c r="E39" s="165">
        <v>0</v>
      </c>
      <c r="F39" s="165"/>
      <c r="G39" s="165">
        <v>0</v>
      </c>
      <c r="H39" s="685"/>
      <c r="I39" s="165">
        <v>0</v>
      </c>
      <c r="J39" s="685"/>
      <c r="K39" s="165">
        <v>0</v>
      </c>
      <c r="L39" s="685"/>
      <c r="M39" s="165">
        <v>0</v>
      </c>
      <c r="N39" s="685"/>
      <c r="O39" s="165">
        <v>0</v>
      </c>
      <c r="P39" s="685"/>
      <c r="Q39" s="165">
        <f t="shared" si="5"/>
        <v>0</v>
      </c>
    </row>
    <row r="40" spans="1:20" ht="15.75">
      <c r="A40" s="53"/>
      <c r="D40" s="180"/>
      <c r="E40" s="180"/>
      <c r="F40" s="180"/>
      <c r="G40" s="180"/>
      <c r="H40" s="180"/>
      <c r="I40" s="180"/>
      <c r="J40" s="180"/>
      <c r="K40" s="180"/>
      <c r="L40" s="180"/>
      <c r="M40" s="180"/>
      <c r="N40" s="180"/>
      <c r="O40" s="165"/>
      <c r="P40" s="180"/>
      <c r="Q40" s="180"/>
    </row>
    <row r="41" spans="1:20" ht="15.75">
      <c r="A41" s="93" t="s">
        <v>43</v>
      </c>
      <c r="D41" s="180"/>
      <c r="E41" s="687">
        <f>SUM(E36:E40)</f>
        <v>1240</v>
      </c>
      <c r="F41" s="685"/>
      <c r="G41" s="687">
        <f>SUM(G36:G40)</f>
        <v>629</v>
      </c>
      <c r="H41" s="685"/>
      <c r="I41" s="687">
        <f>SUM(I36:I40)</f>
        <v>14443</v>
      </c>
      <c r="J41" s="685"/>
      <c r="K41" s="687">
        <f>SUM(K36:K40)</f>
        <v>-4280</v>
      </c>
      <c r="L41" s="685"/>
      <c r="M41" s="687">
        <f>SUM(M36:M40)</f>
        <v>12032</v>
      </c>
      <c r="N41" s="685"/>
      <c r="O41" s="676">
        <f>SUM(O36:O40)</f>
        <v>0</v>
      </c>
      <c r="P41" s="685"/>
      <c r="Q41" s="687">
        <f>SUM(Q36:Q40)</f>
        <v>12032</v>
      </c>
    </row>
    <row r="42" spans="1:20" ht="15.75">
      <c r="A42" s="53"/>
      <c r="D42" s="165"/>
      <c r="E42" s="180"/>
      <c r="F42" s="180"/>
      <c r="G42" s="180"/>
      <c r="H42" s="180"/>
      <c r="I42" s="180"/>
      <c r="J42" s="180"/>
      <c r="K42" s="180"/>
      <c r="L42" s="180"/>
      <c r="M42" s="180"/>
      <c r="N42" s="180"/>
      <c r="O42" s="165"/>
      <c r="P42" s="180"/>
      <c r="Q42" s="692"/>
    </row>
    <row r="43" spans="1:20" ht="15.75">
      <c r="A43" s="54" t="s">
        <v>58</v>
      </c>
      <c r="D43" s="180"/>
      <c r="E43" s="693">
        <f>E34+E41</f>
        <v>1621</v>
      </c>
      <c r="F43" s="694"/>
      <c r="G43" s="693">
        <f>G34+G41</f>
        <v>1468</v>
      </c>
      <c r="H43" s="694"/>
      <c r="I43" s="693">
        <f>I34+I41</f>
        <v>98551</v>
      </c>
      <c r="J43" s="689"/>
      <c r="K43" s="693">
        <f>K34+K41</f>
        <v>20375</v>
      </c>
      <c r="L43" s="689"/>
      <c r="M43" s="693">
        <f>M34+M41</f>
        <v>122015</v>
      </c>
      <c r="N43" s="689"/>
      <c r="O43" s="676">
        <f>O34+O41</f>
        <v>0</v>
      </c>
      <c r="P43" s="689"/>
      <c r="Q43" s="693">
        <f>Q34+Q41</f>
        <v>122015</v>
      </c>
    </row>
    <row r="44" spans="1:20" ht="15.75">
      <c r="A44" s="53"/>
      <c r="D44" s="180"/>
      <c r="E44" s="180"/>
      <c r="F44" s="180"/>
      <c r="G44" s="180"/>
      <c r="H44" s="180"/>
      <c r="I44" s="180"/>
      <c r="J44" s="180"/>
      <c r="K44" s="180"/>
      <c r="L44" s="180"/>
      <c r="M44" s="180"/>
      <c r="N44" s="180"/>
      <c r="O44" s="165"/>
      <c r="P44" s="180"/>
      <c r="Q44" s="180"/>
    </row>
    <row r="45" spans="1:20" ht="15.75">
      <c r="A45" s="53" t="s">
        <v>55</v>
      </c>
      <c r="D45" s="180"/>
      <c r="E45" s="685">
        <f>CSCI!G52-E48</f>
        <v>2129</v>
      </c>
      <c r="F45" s="685"/>
      <c r="G45" s="685">
        <f>CSCI!G53-G48</f>
        <v>673</v>
      </c>
      <c r="H45" s="685"/>
      <c r="I45" s="685">
        <f>CSCI!G44-CSCR!E45-CSCR!G45</f>
        <v>15943</v>
      </c>
      <c r="J45" s="685"/>
      <c r="K45" s="165">
        <v>0</v>
      </c>
      <c r="L45" s="685"/>
      <c r="M45" s="685">
        <f>SUM(E45:K45)</f>
        <v>18745</v>
      </c>
      <c r="N45" s="685"/>
      <c r="O45" s="165">
        <v>0</v>
      </c>
      <c r="P45" s="685"/>
      <c r="Q45" s="685">
        <f>SUM(M45:O45)</f>
        <v>18745</v>
      </c>
    </row>
    <row r="46" spans="1:20" ht="15.75">
      <c r="A46" s="53" t="s">
        <v>56</v>
      </c>
      <c r="D46" s="180"/>
      <c r="E46" s="165">
        <v>0</v>
      </c>
      <c r="F46" s="685"/>
      <c r="G46" s="165">
        <v>0</v>
      </c>
      <c r="H46" s="685"/>
      <c r="I46" s="685">
        <f>CSCI!G47</f>
        <v>-220</v>
      </c>
      <c r="J46" s="685"/>
      <c r="K46" s="685">
        <f>CSCI!G46</f>
        <v>2520</v>
      </c>
      <c r="L46" s="685"/>
      <c r="M46" s="685">
        <f t="shared" ref="M46:M48" si="6">SUM(E46:K46)</f>
        <v>2300</v>
      </c>
      <c r="N46" s="685"/>
      <c r="O46" s="165">
        <v>0</v>
      </c>
      <c r="P46" s="685"/>
      <c r="Q46" s="685">
        <f t="shared" ref="Q46:Q48" si="7">SUM(M46:O46)</f>
        <v>2300</v>
      </c>
    </row>
    <row r="47" spans="1:20" ht="15.75">
      <c r="A47" s="53" t="s">
        <v>57</v>
      </c>
      <c r="D47" s="180"/>
      <c r="E47" s="165">
        <v>0</v>
      </c>
      <c r="F47" s="165"/>
      <c r="G47" s="165">
        <v>0</v>
      </c>
      <c r="H47" s="165"/>
      <c r="I47" s="165">
        <v>5160</v>
      </c>
      <c r="J47" s="165"/>
      <c r="K47" s="165">
        <v>-5160</v>
      </c>
      <c r="L47" s="165"/>
      <c r="M47" s="165">
        <f t="shared" si="6"/>
        <v>0</v>
      </c>
      <c r="N47" s="165"/>
      <c r="O47" s="165">
        <v>0</v>
      </c>
      <c r="P47" s="165"/>
      <c r="Q47" s="165">
        <f t="shared" si="7"/>
        <v>0</v>
      </c>
    </row>
    <row r="48" spans="1:20" ht="15.75">
      <c r="A48" s="53" t="s">
        <v>1133</v>
      </c>
      <c r="D48" s="180"/>
      <c r="E48" s="685">
        <f>E23</f>
        <v>-887</v>
      </c>
      <c r="F48" s="685"/>
      <c r="G48" s="685">
        <f>G23</f>
        <v>-695</v>
      </c>
      <c r="H48" s="685"/>
      <c r="I48" s="685">
        <f>-E48-G48</f>
        <v>1582</v>
      </c>
      <c r="J48" s="165"/>
      <c r="K48" s="165">
        <v>0</v>
      </c>
      <c r="L48" s="165"/>
      <c r="M48" s="165">
        <f t="shared" si="6"/>
        <v>0</v>
      </c>
      <c r="N48" s="165"/>
      <c r="O48" s="165">
        <v>0</v>
      </c>
      <c r="P48" s="165"/>
      <c r="Q48" s="165">
        <f t="shared" si="7"/>
        <v>0</v>
      </c>
    </row>
    <row r="49" spans="1:17" ht="15.75">
      <c r="A49" s="53"/>
      <c r="D49" s="180"/>
      <c r="E49" s="685"/>
      <c r="F49" s="685"/>
      <c r="G49" s="685"/>
      <c r="H49" s="685"/>
      <c r="I49" s="685"/>
      <c r="J49" s="685"/>
      <c r="K49" s="165"/>
      <c r="L49" s="685"/>
      <c r="M49" s="165"/>
      <c r="N49" s="685"/>
      <c r="O49" s="165"/>
      <c r="P49" s="685"/>
      <c r="Q49" s="165"/>
    </row>
    <row r="50" spans="1:17" ht="15.75">
      <c r="A50" s="54" t="s">
        <v>43</v>
      </c>
      <c r="D50" s="180"/>
      <c r="E50" s="687">
        <f>SUM(E45:E48)</f>
        <v>1242</v>
      </c>
      <c r="F50" s="685"/>
      <c r="G50" s="687">
        <f>SUM(G45:G48)</f>
        <v>-22</v>
      </c>
      <c r="H50" s="685"/>
      <c r="I50" s="687">
        <f>SUM(I45:I48)</f>
        <v>22465</v>
      </c>
      <c r="J50" s="685"/>
      <c r="K50" s="687">
        <f>SUM(K45:K48)</f>
        <v>-2640</v>
      </c>
      <c r="L50" s="685"/>
      <c r="M50" s="687">
        <f>SUM(M45:M48)</f>
        <v>21045</v>
      </c>
      <c r="N50" s="685"/>
      <c r="O50" s="676">
        <f>SUM(O45:O48)</f>
        <v>0</v>
      </c>
      <c r="P50" s="685"/>
      <c r="Q50" s="687">
        <f>SUM(Q45:Q48)</f>
        <v>21045</v>
      </c>
    </row>
    <row r="51" spans="1:17" ht="15.75">
      <c r="A51" s="53"/>
      <c r="D51" s="180"/>
      <c r="E51" s="685"/>
      <c r="F51" s="685"/>
      <c r="G51" s="685"/>
      <c r="H51" s="685"/>
      <c r="I51" s="685"/>
      <c r="J51" s="685"/>
      <c r="K51" s="685"/>
      <c r="L51" s="685"/>
      <c r="M51" s="685"/>
      <c r="N51" s="685"/>
      <c r="O51" s="165"/>
      <c r="P51" s="685"/>
      <c r="Q51" s="685"/>
    </row>
    <row r="52" spans="1:17" ht="16.5" thickBot="1">
      <c r="A52" s="54" t="s">
        <v>59</v>
      </c>
      <c r="E52" s="690">
        <f>E50+E43</f>
        <v>2863</v>
      </c>
      <c r="F52" s="689"/>
      <c r="G52" s="690">
        <f>G50+G43</f>
        <v>1446</v>
      </c>
      <c r="H52" s="689"/>
      <c r="I52" s="690">
        <f>I50+I43</f>
        <v>121016</v>
      </c>
      <c r="J52" s="689"/>
      <c r="K52" s="690">
        <f>K50+K43</f>
        <v>17735</v>
      </c>
      <c r="L52" s="689"/>
      <c r="M52" s="690">
        <f>M50+M43</f>
        <v>143060</v>
      </c>
      <c r="N52" s="689"/>
      <c r="O52" s="677">
        <f>O50+O43</f>
        <v>0</v>
      </c>
      <c r="P52" s="689"/>
      <c r="Q52" s="690">
        <f>Q50+Q43</f>
        <v>143060</v>
      </c>
    </row>
    <row r="53" spans="1:17" ht="15.75" thickTop="1">
      <c r="E53" s="171"/>
      <c r="F53" s="171"/>
      <c r="G53" s="171"/>
      <c r="H53" s="171"/>
      <c r="I53" s="171"/>
      <c r="J53" s="171"/>
      <c r="K53" s="171"/>
      <c r="L53" s="171"/>
      <c r="M53" s="171"/>
      <c r="N53" s="171"/>
      <c r="O53" s="171"/>
      <c r="P53" s="171"/>
      <c r="Q53" s="171"/>
    </row>
  </sheetData>
  <mergeCells count="2">
    <mergeCell ref="E5:I5"/>
    <mergeCell ref="E30:I30"/>
  </mergeCells>
  <pageMargins left="0.70866141732283472" right="0.70866141732283472" top="0.74803149606299213" bottom="0.74803149606299213" header="0.31496062992125984" footer="0.31496062992125984"/>
  <pageSetup paperSize="9" scale="55" orientation="landscape" horizontalDpi="1200" verticalDpi="1200" r:id="rId1"/>
  <headerFooter>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view="pageBreakPreview" topLeftCell="A19" zoomScale="115" zoomScaleNormal="100" zoomScaleSheetLayoutView="115" zoomScalePageLayoutView="70" workbookViewId="0">
      <selection activeCell="A6" sqref="A6"/>
    </sheetView>
  </sheetViews>
  <sheetFormatPr defaultRowHeight="12.75"/>
  <cols>
    <col min="1" max="1" width="3.85546875" style="149" customWidth="1"/>
    <col min="2" max="2" width="13.42578125" style="149" customWidth="1"/>
    <col min="3" max="3" width="12.7109375" style="149" customWidth="1"/>
    <col min="4" max="4" width="5.5703125" style="149" customWidth="1"/>
    <col min="5" max="5" width="15.7109375" style="149" customWidth="1"/>
    <col min="6" max="6" width="3.7109375" style="149" customWidth="1"/>
    <col min="7" max="7" width="12.7109375" style="149" customWidth="1"/>
    <col min="8" max="8" width="3.7109375" style="149" customWidth="1"/>
    <col min="9" max="9" width="15.7109375" style="149" customWidth="1"/>
    <col min="10" max="16384" width="9.140625" style="149"/>
  </cols>
  <sheetData>
    <row r="1" spans="1:10" s="480" customFormat="1" ht="30" customHeight="1">
      <c r="A1" s="480" t="s">
        <v>298</v>
      </c>
    </row>
    <row r="2" spans="1:10" s="481" customFormat="1" ht="19.5" customHeight="1">
      <c r="A2" s="481" t="s">
        <v>129</v>
      </c>
    </row>
    <row r="3" spans="1:10" s="485" customFormat="1" ht="15" customHeight="1" thickBot="1">
      <c r="A3" s="482"/>
      <c r="B3" s="483"/>
      <c r="C3" s="483"/>
      <c r="D3" s="483"/>
      <c r="E3" s="483"/>
      <c r="F3" s="483"/>
      <c r="G3" s="483"/>
      <c r="H3" s="483"/>
      <c r="I3" s="483"/>
      <c r="J3" s="484"/>
    </row>
    <row r="4" spans="1:10" s="487" customFormat="1" ht="15" customHeight="1">
      <c r="A4" s="486"/>
    </row>
    <row r="5" spans="1:10" s="491" customFormat="1" ht="15" customHeight="1">
      <c r="A5" s="534">
        <v>34</v>
      </c>
      <c r="B5" s="152" t="s">
        <v>702</v>
      </c>
      <c r="C5" s="152"/>
      <c r="D5" s="150"/>
      <c r="E5" s="535"/>
      <c r="F5" s="536"/>
      <c r="G5" s="536"/>
      <c r="H5" s="536"/>
      <c r="I5" s="536"/>
      <c r="J5" s="493"/>
    </row>
    <row r="6" spans="1:10">
      <c r="A6" s="544"/>
      <c r="B6" s="544"/>
      <c r="C6" s="544"/>
      <c r="D6" s="544"/>
      <c r="E6" s="544"/>
      <c r="F6" s="544"/>
      <c r="G6" s="544"/>
      <c r="H6" s="544"/>
      <c r="I6" s="544"/>
    </row>
    <row r="7" spans="1:10" s="546" customFormat="1" ht="12">
      <c r="A7" s="152"/>
      <c r="B7" s="152" t="s">
        <v>805</v>
      </c>
      <c r="C7" s="152"/>
      <c r="D7" s="152"/>
      <c r="E7" s="152"/>
      <c r="F7" s="152"/>
      <c r="G7" s="152"/>
      <c r="H7" s="152"/>
      <c r="I7" s="152"/>
    </row>
    <row r="8" spans="1:10" s="538" customFormat="1" ht="12">
      <c r="A8" s="150"/>
      <c r="B8" s="150"/>
      <c r="C8" s="150"/>
      <c r="D8" s="150"/>
      <c r="E8" s="150"/>
      <c r="F8" s="150"/>
      <c r="G8" s="150"/>
      <c r="H8" s="150"/>
      <c r="I8" s="150"/>
    </row>
    <row r="9" spans="1:10" s="538" customFormat="1" ht="12">
      <c r="A9" s="150"/>
      <c r="B9" s="152" t="s">
        <v>806</v>
      </c>
      <c r="C9" s="150"/>
      <c r="D9" s="150"/>
      <c r="E9" s="150"/>
      <c r="F9" s="150"/>
      <c r="G9" s="150"/>
      <c r="H9" s="150"/>
      <c r="I9" s="150"/>
    </row>
    <row r="10" spans="1:10" s="538" customFormat="1" ht="12">
      <c r="A10" s="150"/>
      <c r="B10" s="152" t="s">
        <v>807</v>
      </c>
      <c r="C10" s="150"/>
      <c r="D10" s="150"/>
      <c r="E10" s="150"/>
      <c r="F10" s="150"/>
      <c r="G10" s="150"/>
      <c r="H10" s="150"/>
      <c r="I10" s="150"/>
    </row>
    <row r="11" spans="1:10" s="538" customFormat="1" ht="12">
      <c r="A11" s="150"/>
      <c r="B11" s="150"/>
      <c r="C11" s="150"/>
      <c r="D11" s="150"/>
      <c r="E11" s="150"/>
      <c r="F11" s="150"/>
      <c r="G11" s="150"/>
      <c r="H11" s="150"/>
      <c r="I11" s="150"/>
    </row>
    <row r="12" spans="1:10" s="538" customFormat="1" ht="12">
      <c r="A12" s="150"/>
      <c r="B12" s="150" t="s">
        <v>938</v>
      </c>
      <c r="C12" s="150"/>
      <c r="D12" s="150"/>
      <c r="E12" s="150"/>
      <c r="F12" s="150"/>
      <c r="G12" s="150"/>
      <c r="H12" s="150"/>
      <c r="I12" s="150"/>
    </row>
    <row r="13" spans="1:10" s="538" customFormat="1" ht="12">
      <c r="A13" s="150"/>
      <c r="B13" s="150" t="s">
        <v>939</v>
      </c>
      <c r="C13" s="150"/>
      <c r="D13" s="150"/>
      <c r="E13" s="150"/>
      <c r="F13" s="150"/>
      <c r="G13" s="150"/>
      <c r="H13" s="150"/>
      <c r="I13" s="150"/>
    </row>
    <row r="14" spans="1:10" s="538" customFormat="1" ht="12">
      <c r="A14" s="150"/>
      <c r="B14" s="150" t="s">
        <v>940</v>
      </c>
      <c r="C14" s="150"/>
      <c r="D14" s="150"/>
      <c r="E14" s="150"/>
      <c r="F14" s="150"/>
      <c r="G14" s="150"/>
      <c r="H14" s="150"/>
      <c r="I14" s="150"/>
    </row>
    <row r="15" spans="1:10" s="538" customFormat="1" ht="12">
      <c r="A15" s="150"/>
      <c r="B15" s="150"/>
      <c r="C15" s="150"/>
      <c r="D15" s="150"/>
      <c r="E15" s="150"/>
      <c r="F15" s="150"/>
      <c r="G15" s="150"/>
      <c r="H15" s="150"/>
      <c r="I15" s="150"/>
    </row>
    <row r="16" spans="1:10" s="538" customFormat="1" ht="12">
      <c r="A16" s="150"/>
      <c r="B16" s="150" t="s">
        <v>941</v>
      </c>
      <c r="C16" s="150"/>
      <c r="D16" s="150"/>
      <c r="E16" s="150"/>
      <c r="F16" s="150"/>
      <c r="G16" s="150"/>
      <c r="H16" s="150"/>
      <c r="I16" s="150"/>
    </row>
    <row r="17" spans="1:9" s="538" customFormat="1" ht="12">
      <c r="A17" s="150"/>
      <c r="B17" s="150"/>
      <c r="C17" s="150"/>
      <c r="D17" s="150"/>
      <c r="E17" s="150"/>
      <c r="F17" s="150"/>
      <c r="G17" s="150"/>
      <c r="H17" s="150"/>
      <c r="I17" s="150"/>
    </row>
    <row r="18" spans="1:9" s="538" customFormat="1" ht="12">
      <c r="A18" s="150"/>
      <c r="B18" s="150"/>
      <c r="C18" s="150"/>
      <c r="D18" s="150"/>
      <c r="E18" s="150"/>
      <c r="F18" s="150"/>
      <c r="G18" s="150"/>
      <c r="H18" s="150"/>
      <c r="I18" s="150"/>
    </row>
    <row r="19" spans="1:9" s="538" customFormat="1" ht="12">
      <c r="A19" s="150"/>
      <c r="B19" s="150" t="s">
        <v>942</v>
      </c>
      <c r="C19" s="150"/>
      <c r="D19" s="150"/>
      <c r="E19" s="150"/>
      <c r="F19" s="150"/>
      <c r="G19" s="150"/>
      <c r="H19" s="150"/>
      <c r="I19" s="150"/>
    </row>
    <row r="20" spans="1:9" s="538" customFormat="1" ht="12">
      <c r="A20" s="150"/>
      <c r="B20" s="150" t="s">
        <v>943</v>
      </c>
      <c r="C20" s="150"/>
      <c r="D20" s="150"/>
      <c r="E20" s="150"/>
      <c r="F20" s="150"/>
      <c r="G20" s="150"/>
      <c r="H20" s="150"/>
      <c r="I20" s="150"/>
    </row>
    <row r="21" spans="1:9" s="538" customFormat="1" ht="12">
      <c r="A21" s="150"/>
      <c r="B21" s="150" t="s">
        <v>944</v>
      </c>
      <c r="C21" s="150"/>
      <c r="D21" s="150"/>
      <c r="E21" s="150"/>
      <c r="F21" s="150"/>
      <c r="G21" s="150"/>
      <c r="H21" s="150"/>
      <c r="I21" s="150"/>
    </row>
    <row r="22" spans="1:9" s="538" customFormat="1" ht="12">
      <c r="A22" s="150"/>
      <c r="B22" s="150" t="s">
        <v>945</v>
      </c>
      <c r="C22" s="150"/>
      <c r="D22" s="150"/>
      <c r="E22" s="150"/>
      <c r="F22" s="150"/>
      <c r="G22" s="150"/>
      <c r="H22" s="150"/>
      <c r="I22" s="150"/>
    </row>
    <row r="23" spans="1:9" s="538" customFormat="1" ht="12">
      <c r="A23" s="150"/>
      <c r="B23" s="150" t="s">
        <v>946</v>
      </c>
      <c r="C23" s="150"/>
      <c r="D23" s="150"/>
      <c r="E23" s="150"/>
      <c r="F23" s="150"/>
      <c r="G23" s="150"/>
      <c r="H23" s="150"/>
      <c r="I23" s="150"/>
    </row>
    <row r="24" spans="1:9" s="538" customFormat="1" ht="12">
      <c r="A24" s="150"/>
      <c r="B24" s="150" t="s">
        <v>947</v>
      </c>
      <c r="C24" s="150"/>
      <c r="D24" s="150"/>
      <c r="E24" s="150"/>
      <c r="F24" s="150"/>
      <c r="G24" s="150"/>
      <c r="H24" s="150"/>
      <c r="I24" s="150"/>
    </row>
    <row r="25" spans="1:9" s="538" customFormat="1" ht="12">
      <c r="A25" s="150"/>
      <c r="B25" s="150"/>
      <c r="C25" s="150"/>
      <c r="D25" s="150"/>
      <c r="E25" s="150"/>
      <c r="F25" s="150"/>
      <c r="G25" s="150"/>
      <c r="H25" s="150"/>
      <c r="I25" s="150"/>
    </row>
    <row r="26" spans="1:9" s="538" customFormat="1" ht="12">
      <c r="A26" s="150"/>
      <c r="B26" s="150"/>
      <c r="C26" s="150"/>
      <c r="D26" s="150"/>
      <c r="E26" s="150"/>
      <c r="F26" s="150"/>
      <c r="G26" s="150"/>
      <c r="H26" s="150"/>
      <c r="I26" s="150"/>
    </row>
    <row r="27" spans="1:9" s="546" customFormat="1" ht="12">
      <c r="A27" s="152"/>
      <c r="B27" s="152" t="s">
        <v>808</v>
      </c>
      <c r="C27" s="152"/>
      <c r="D27" s="152"/>
      <c r="E27" s="152"/>
      <c r="F27" s="152"/>
      <c r="G27" s="152"/>
      <c r="H27" s="152"/>
      <c r="I27" s="152"/>
    </row>
    <row r="28" spans="1:9" s="538" customFormat="1" ht="12">
      <c r="A28" s="150"/>
      <c r="B28" s="150"/>
      <c r="C28" s="150"/>
      <c r="D28" s="150"/>
      <c r="E28" s="150"/>
      <c r="F28" s="150"/>
      <c r="G28" s="150"/>
      <c r="H28" s="150"/>
      <c r="I28" s="150"/>
    </row>
    <row r="29" spans="1:9" s="538" customFormat="1" ht="12">
      <c r="A29" s="150"/>
      <c r="B29" s="150" t="s">
        <v>809</v>
      </c>
      <c r="C29" s="150"/>
      <c r="D29" s="150"/>
      <c r="E29" s="150"/>
      <c r="F29" s="150"/>
      <c r="G29" s="150"/>
      <c r="H29" s="150"/>
      <c r="I29" s="150"/>
    </row>
    <row r="30" spans="1:9" s="538" customFormat="1" ht="12">
      <c r="A30" s="150"/>
      <c r="B30" s="150"/>
      <c r="C30" s="150"/>
      <c r="D30" s="150"/>
      <c r="E30" s="150"/>
      <c r="F30" s="150"/>
      <c r="G30" s="150"/>
      <c r="H30" s="150"/>
      <c r="I30" s="150"/>
    </row>
    <row r="31" spans="1:9" s="538" customFormat="1" ht="12">
      <c r="A31" s="150"/>
      <c r="B31" s="150"/>
      <c r="C31" s="150"/>
      <c r="D31" s="150"/>
      <c r="E31" s="150"/>
      <c r="F31" s="150"/>
      <c r="G31" s="162" t="s">
        <v>810</v>
      </c>
      <c r="H31" s="162"/>
      <c r="I31" s="162" t="s">
        <v>810</v>
      </c>
    </row>
    <row r="32" spans="1:9" s="538" customFormat="1" ht="12">
      <c r="A32" s="150"/>
      <c r="B32" s="150"/>
      <c r="C32" s="150"/>
      <c r="D32" s="150"/>
      <c r="E32" s="150"/>
      <c r="F32" s="150"/>
      <c r="G32" s="150">
        <v>2011</v>
      </c>
      <c r="H32" s="150"/>
      <c r="I32" s="150">
        <v>2010</v>
      </c>
    </row>
    <row r="33" spans="1:9" s="538" customFormat="1" ht="12">
      <c r="A33" s="150"/>
      <c r="B33" s="150"/>
      <c r="C33" s="150"/>
      <c r="D33" s="150"/>
      <c r="E33" s="150"/>
      <c r="F33" s="150"/>
      <c r="G33" s="162" t="s">
        <v>811</v>
      </c>
      <c r="H33" s="150"/>
      <c r="I33" s="162" t="s">
        <v>811</v>
      </c>
    </row>
    <row r="34" spans="1:9" s="538" customFormat="1" ht="12">
      <c r="A34" s="150"/>
      <c r="B34" s="150" t="s">
        <v>812</v>
      </c>
      <c r="C34" s="150"/>
      <c r="D34" s="150"/>
      <c r="E34" s="150"/>
      <c r="F34" s="150"/>
      <c r="G34" s="162" t="s">
        <v>813</v>
      </c>
      <c r="H34" s="150"/>
      <c r="I34" s="162" t="s">
        <v>813</v>
      </c>
    </row>
    <row r="35" spans="1:9" s="538" customFormat="1" ht="12">
      <c r="A35" s="150"/>
      <c r="B35" s="150" t="s">
        <v>814</v>
      </c>
      <c r="C35" s="150"/>
      <c r="D35" s="150"/>
      <c r="E35" s="150"/>
      <c r="F35" s="150"/>
      <c r="G35" s="162" t="s">
        <v>813</v>
      </c>
      <c r="H35" s="150"/>
      <c r="I35" s="162" t="s">
        <v>813</v>
      </c>
    </row>
    <row r="36" spans="1:9" s="538" customFormat="1" ht="12">
      <c r="A36" s="150"/>
      <c r="B36" s="150" t="s">
        <v>815</v>
      </c>
      <c r="C36" s="150"/>
      <c r="D36" s="150"/>
      <c r="E36" s="150"/>
      <c r="F36" s="150"/>
      <c r="G36" s="162" t="s">
        <v>813</v>
      </c>
      <c r="H36" s="150"/>
      <c r="I36" s="162" t="s">
        <v>813</v>
      </c>
    </row>
    <row r="37" spans="1:9" s="538" customFormat="1" ht="12">
      <c r="A37" s="150"/>
      <c r="B37" s="150" t="s">
        <v>816</v>
      </c>
      <c r="C37" s="150"/>
      <c r="D37" s="150"/>
      <c r="E37" s="150"/>
      <c r="F37" s="150"/>
      <c r="G37" s="162" t="s">
        <v>813</v>
      </c>
      <c r="H37" s="150"/>
      <c r="I37" s="162" t="s">
        <v>813</v>
      </c>
    </row>
    <row r="38" spans="1:9" s="538" customFormat="1" ht="12">
      <c r="A38" s="150"/>
      <c r="B38" s="150" t="s">
        <v>817</v>
      </c>
      <c r="C38" s="150"/>
      <c r="D38" s="150"/>
      <c r="E38" s="150"/>
      <c r="F38" s="150"/>
      <c r="G38" s="162" t="s">
        <v>813</v>
      </c>
      <c r="H38" s="150"/>
      <c r="I38" s="162" t="s">
        <v>813</v>
      </c>
    </row>
    <row r="39" spans="1:9" s="538" customFormat="1" ht="12">
      <c r="A39" s="150"/>
      <c r="B39" s="150" t="s">
        <v>376</v>
      </c>
      <c r="C39" s="150"/>
      <c r="D39" s="150"/>
      <c r="E39" s="150"/>
      <c r="F39" s="150"/>
      <c r="G39" s="162" t="s">
        <v>813</v>
      </c>
      <c r="H39" s="150"/>
      <c r="I39" s="162" t="s">
        <v>813</v>
      </c>
    </row>
    <row r="40" spans="1:9" s="538" customFormat="1" ht="12">
      <c r="A40" s="150"/>
      <c r="B40" s="150" t="s">
        <v>818</v>
      </c>
      <c r="C40" s="150"/>
      <c r="D40" s="150"/>
      <c r="E40" s="150"/>
      <c r="F40" s="150"/>
      <c r="G40" s="162" t="s">
        <v>813</v>
      </c>
      <c r="H40" s="150"/>
      <c r="I40" s="162" t="s">
        <v>813</v>
      </c>
    </row>
    <row r="41" spans="1:9" s="538" customFormat="1" ht="12">
      <c r="A41" s="150"/>
      <c r="B41" s="150" t="s">
        <v>570</v>
      </c>
      <c r="C41" s="150"/>
      <c r="D41" s="150"/>
      <c r="E41" s="150"/>
      <c r="F41" s="150"/>
      <c r="G41" s="162" t="s">
        <v>813</v>
      </c>
      <c r="H41" s="150"/>
      <c r="I41" s="162" t="s">
        <v>813</v>
      </c>
    </row>
    <row r="42" spans="1:9" s="538" customFormat="1" ht="12">
      <c r="A42" s="150"/>
      <c r="B42" s="150"/>
      <c r="C42" s="150"/>
      <c r="D42" s="150"/>
      <c r="E42" s="150"/>
      <c r="F42" s="150"/>
      <c r="G42" s="150"/>
      <c r="H42" s="150"/>
      <c r="I42" s="150"/>
    </row>
    <row r="43" spans="1:9" s="538" customFormat="1" ht="12">
      <c r="A43" s="150"/>
      <c r="B43" s="150" t="s">
        <v>819</v>
      </c>
      <c r="C43" s="150"/>
      <c r="D43" s="150"/>
      <c r="E43" s="150"/>
      <c r="F43" s="150"/>
      <c r="G43" s="150"/>
      <c r="H43" s="150"/>
      <c r="I43" s="150"/>
    </row>
    <row r="44" spans="1:9" s="538" customFormat="1" ht="12">
      <c r="A44" s="150"/>
      <c r="B44" s="150"/>
      <c r="C44" s="150"/>
      <c r="D44" s="150"/>
      <c r="E44" s="150"/>
      <c r="F44" s="150"/>
      <c r="G44" s="150"/>
      <c r="H44" s="150"/>
      <c r="I44" s="150"/>
    </row>
    <row r="45" spans="1:9" s="538" customFormat="1" ht="12">
      <c r="A45" s="150"/>
      <c r="B45" s="150" t="s">
        <v>948</v>
      </c>
      <c r="C45" s="150"/>
      <c r="D45" s="150"/>
      <c r="E45" s="150"/>
      <c r="F45" s="150"/>
      <c r="G45" s="150"/>
      <c r="H45" s="150"/>
      <c r="I45" s="150"/>
    </row>
    <row r="46" spans="1:9" s="538" customFormat="1" ht="12">
      <c r="A46" s="150"/>
      <c r="B46" s="150" t="s">
        <v>949</v>
      </c>
      <c r="C46" s="150"/>
      <c r="D46" s="150"/>
      <c r="E46" s="150"/>
      <c r="F46" s="150"/>
      <c r="G46" s="150"/>
      <c r="H46" s="150"/>
      <c r="I46" s="150"/>
    </row>
    <row r="47" spans="1:9" s="538" customFormat="1" ht="12">
      <c r="A47" s="150"/>
      <c r="B47" s="150"/>
      <c r="C47" s="150"/>
      <c r="D47" s="150"/>
      <c r="E47" s="150"/>
      <c r="F47" s="150"/>
      <c r="G47" s="150"/>
      <c r="H47" s="150"/>
      <c r="I47" s="150"/>
    </row>
    <row r="48" spans="1:9" s="538" customFormat="1" ht="12">
      <c r="A48" s="150"/>
      <c r="B48" s="150"/>
      <c r="C48" s="150" t="s">
        <v>820</v>
      </c>
      <c r="D48" s="150"/>
      <c r="E48" s="150" t="s">
        <v>821</v>
      </c>
      <c r="F48" s="150"/>
      <c r="G48" s="150" t="s">
        <v>820</v>
      </c>
      <c r="H48" s="150"/>
      <c r="I48" s="150" t="s">
        <v>821</v>
      </c>
    </row>
    <row r="49" spans="1:9" s="538" customFormat="1" ht="12">
      <c r="A49" s="150"/>
      <c r="B49" s="150"/>
      <c r="C49" s="150"/>
      <c r="D49" s="150"/>
      <c r="E49" s="150" t="s">
        <v>822</v>
      </c>
      <c r="F49" s="150"/>
      <c r="G49" s="162"/>
      <c r="H49" s="150"/>
      <c r="I49" s="150" t="s">
        <v>822</v>
      </c>
    </row>
    <row r="50" spans="1:9" s="538" customFormat="1" ht="12">
      <c r="A50" s="150"/>
      <c r="B50" s="150" t="s">
        <v>823</v>
      </c>
      <c r="C50" s="561" t="s">
        <v>813</v>
      </c>
      <c r="D50" s="561"/>
      <c r="E50" s="561" t="s">
        <v>813</v>
      </c>
      <c r="F50" s="561"/>
      <c r="G50" s="561" t="s">
        <v>813</v>
      </c>
      <c r="H50" s="561"/>
      <c r="I50" s="561" t="s">
        <v>813</v>
      </c>
    </row>
    <row r="51" spans="1:9" s="538" customFormat="1" ht="12">
      <c r="A51" s="150"/>
      <c r="B51" s="150" t="s">
        <v>824</v>
      </c>
      <c r="C51" s="561" t="s">
        <v>813</v>
      </c>
      <c r="D51" s="561"/>
      <c r="E51" s="561" t="s">
        <v>813</v>
      </c>
      <c r="F51" s="561"/>
      <c r="G51" s="561" t="s">
        <v>813</v>
      </c>
      <c r="H51" s="561"/>
      <c r="I51" s="561" t="s">
        <v>813</v>
      </c>
    </row>
    <row r="52" spans="1:9" s="538" customFormat="1" ht="12">
      <c r="A52" s="150"/>
      <c r="B52" s="150"/>
      <c r="C52" s="561"/>
      <c r="D52" s="561"/>
      <c r="E52" s="561"/>
      <c r="F52" s="561"/>
      <c r="G52" s="561"/>
      <c r="H52" s="561"/>
      <c r="I52" s="561"/>
    </row>
    <row r="53" spans="1:9" s="538" customFormat="1">
      <c r="A53" s="150"/>
      <c r="B53" s="544"/>
      <c r="C53" s="495"/>
      <c r="D53" s="561"/>
      <c r="E53" s="561"/>
      <c r="F53" s="561"/>
      <c r="G53" s="561"/>
      <c r="H53" s="561"/>
      <c r="I53" s="561"/>
    </row>
    <row r="54" spans="1:9" s="538" customFormat="1">
      <c r="A54" s="150"/>
      <c r="B54" s="544"/>
      <c r="C54" s="495"/>
      <c r="D54" s="561"/>
      <c r="E54" s="561"/>
      <c r="F54" s="561"/>
      <c r="G54" s="561"/>
      <c r="H54" s="561"/>
      <c r="I54" s="561"/>
    </row>
  </sheetData>
  <pageMargins left="0.70866141732283472" right="0.70866141732283472" top="0.74803149606299213" bottom="0.74803149606299213" header="0.31496062992125984" footer="0.31496062992125984"/>
  <pageSetup paperSize="9" scale="90" orientation="portrait" r:id="rId1"/>
  <headerFooter>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view="pageBreakPreview" topLeftCell="A31" zoomScale="115" zoomScaleNormal="100" zoomScaleSheetLayoutView="115" zoomScalePageLayoutView="70" workbookViewId="0">
      <selection activeCell="B41" sqref="B41"/>
    </sheetView>
  </sheetViews>
  <sheetFormatPr defaultRowHeight="12.75"/>
  <cols>
    <col min="1" max="1" width="3.28515625" style="149" customWidth="1"/>
    <col min="2" max="2" width="16.140625" style="149" customWidth="1"/>
    <col min="3" max="3" width="9.140625" style="149"/>
    <col min="4" max="4" width="13.42578125" style="149" customWidth="1"/>
    <col min="5" max="5" width="9.140625" style="149"/>
    <col min="6" max="6" width="4.5703125" style="149" customWidth="1"/>
    <col min="7" max="7" width="9.140625" style="149"/>
    <col min="8" max="8" width="4.28515625" style="149" customWidth="1"/>
    <col min="9" max="9" width="10.5703125" style="149" bestFit="1" customWidth="1"/>
    <col min="10" max="11" width="9.140625" style="149"/>
    <col min="12" max="12" width="4.140625" style="149" customWidth="1"/>
    <col min="13" max="16384" width="9.140625" style="149"/>
  </cols>
  <sheetData>
    <row r="1" spans="1:11" s="480" customFormat="1" ht="30" customHeight="1">
      <c r="A1" s="480" t="s">
        <v>298</v>
      </c>
    </row>
    <row r="2" spans="1:11" s="481" customFormat="1" ht="19.5" customHeight="1">
      <c r="A2" s="481" t="s">
        <v>129</v>
      </c>
    </row>
    <row r="3" spans="1:11" s="485" customFormat="1" ht="15" customHeight="1" thickBot="1">
      <c r="A3" s="482"/>
      <c r="B3" s="483"/>
      <c r="C3" s="483"/>
      <c r="D3" s="483"/>
      <c r="E3" s="483"/>
      <c r="F3" s="483"/>
      <c r="G3" s="483"/>
      <c r="H3" s="483"/>
      <c r="I3" s="483"/>
      <c r="J3" s="483"/>
      <c r="K3" s="484"/>
    </row>
    <row r="4" spans="1:11" s="487" customFormat="1" ht="15" customHeight="1">
      <c r="A4" s="486"/>
    </row>
    <row r="5" spans="1:11" s="491" customFormat="1" ht="15" customHeight="1">
      <c r="A5" s="489">
        <v>34</v>
      </c>
      <c r="B5" s="490" t="s">
        <v>702</v>
      </c>
      <c r="C5" s="490"/>
      <c r="E5" s="492"/>
      <c r="F5" s="493"/>
      <c r="G5" s="493"/>
      <c r="H5" s="493"/>
      <c r="I5" s="493"/>
      <c r="J5" s="493"/>
      <c r="K5" s="493"/>
    </row>
    <row r="6" spans="1:11" s="491" customFormat="1" ht="15" customHeight="1">
      <c r="A6" s="489"/>
      <c r="B6" s="490"/>
      <c r="C6" s="490"/>
      <c r="E6" s="492"/>
      <c r="F6" s="493"/>
      <c r="G6" s="493"/>
      <c r="H6" s="493"/>
      <c r="I6" s="493"/>
      <c r="J6" s="493"/>
      <c r="K6" s="493"/>
    </row>
    <row r="7" spans="1:11" s="538" customFormat="1" ht="12">
      <c r="B7" s="546" t="s">
        <v>825</v>
      </c>
    </row>
    <row r="8" spans="1:11" s="538" customFormat="1" ht="12"/>
    <row r="9" spans="1:11" s="538" customFormat="1" ht="12">
      <c r="B9" s="538" t="s">
        <v>976</v>
      </c>
    </row>
    <row r="10" spans="1:11" s="538" customFormat="1" ht="12">
      <c r="B10" s="538" t="s">
        <v>977</v>
      </c>
    </row>
    <row r="11" spans="1:11" s="538" customFormat="1" ht="12">
      <c r="B11" s="538" t="s">
        <v>978</v>
      </c>
    </row>
    <row r="12" spans="1:11" s="538" customFormat="1" ht="12">
      <c r="B12" s="538" t="s">
        <v>979</v>
      </c>
    </row>
    <row r="13" spans="1:11" s="538" customFormat="1" ht="12"/>
    <row r="14" spans="1:11" s="538" customFormat="1" ht="12">
      <c r="B14" s="538" t="s">
        <v>826</v>
      </c>
    </row>
    <row r="15" spans="1:11" s="538" customFormat="1" ht="12">
      <c r="E15" s="842" t="s">
        <v>827</v>
      </c>
      <c r="F15" s="842"/>
      <c r="G15" s="842"/>
      <c r="H15" s="842"/>
      <c r="I15" s="842"/>
    </row>
    <row r="16" spans="1:11" s="538" customFormat="1" ht="12">
      <c r="E16" s="562" t="s">
        <v>828</v>
      </c>
      <c r="F16" s="546"/>
      <c r="G16" s="562" t="s">
        <v>829</v>
      </c>
      <c r="H16" s="546"/>
      <c r="I16" s="562" t="s">
        <v>830</v>
      </c>
    </row>
    <row r="17" spans="2:9" s="538" customFormat="1" ht="12">
      <c r="E17" s="563" t="s">
        <v>682</v>
      </c>
      <c r="F17" s="563"/>
      <c r="G17" s="563" t="s">
        <v>682</v>
      </c>
      <c r="H17" s="563"/>
      <c r="I17" s="563" t="s">
        <v>682</v>
      </c>
    </row>
    <row r="18" spans="2:9" s="538" customFormat="1" ht="12">
      <c r="B18" s="538" t="s">
        <v>831</v>
      </c>
      <c r="E18" s="564" t="s">
        <v>813</v>
      </c>
      <c r="G18" s="564" t="s">
        <v>813</v>
      </c>
      <c r="I18" s="564" t="s">
        <v>813</v>
      </c>
    </row>
    <row r="19" spans="2:9" s="538" customFormat="1" ht="12">
      <c r="B19" s="538" t="s">
        <v>832</v>
      </c>
      <c r="E19" s="564" t="s">
        <v>813</v>
      </c>
      <c r="G19" s="564" t="s">
        <v>813</v>
      </c>
      <c r="I19" s="564" t="s">
        <v>813</v>
      </c>
    </row>
    <row r="20" spans="2:9" s="538" customFormat="1" ht="12">
      <c r="B20" s="538" t="s">
        <v>833</v>
      </c>
      <c r="E20" s="564" t="s">
        <v>813</v>
      </c>
      <c r="G20" s="564" t="s">
        <v>813</v>
      </c>
      <c r="I20" s="564" t="s">
        <v>813</v>
      </c>
    </row>
    <row r="21" spans="2:9" s="538" customFormat="1" ht="12">
      <c r="B21" s="538" t="s">
        <v>586</v>
      </c>
      <c r="E21" s="564" t="s">
        <v>813</v>
      </c>
      <c r="G21" s="564" t="s">
        <v>813</v>
      </c>
      <c r="I21" s="564" t="s">
        <v>813</v>
      </c>
    </row>
    <row r="22" spans="2:9" s="538" customFormat="1" ht="12">
      <c r="B22" s="538" t="s">
        <v>587</v>
      </c>
      <c r="E22" s="564" t="s">
        <v>813</v>
      </c>
      <c r="G22" s="564" t="s">
        <v>813</v>
      </c>
      <c r="I22" s="564" t="s">
        <v>813</v>
      </c>
    </row>
    <row r="23" spans="2:9" s="538" customFormat="1" thickBot="1">
      <c r="B23" s="538" t="s">
        <v>399</v>
      </c>
      <c r="E23" s="565" t="s">
        <v>813</v>
      </c>
      <c r="G23" s="565" t="s">
        <v>813</v>
      </c>
      <c r="I23" s="565" t="s">
        <v>813</v>
      </c>
    </row>
    <row r="24" spans="2:9" s="538" customFormat="1" thickTop="1">
      <c r="B24" s="566"/>
    </row>
    <row r="25" spans="2:9" s="538" customFormat="1" ht="12">
      <c r="E25" s="566" t="s">
        <v>828</v>
      </c>
      <c r="G25" s="566" t="s">
        <v>829</v>
      </c>
      <c r="I25" s="566" t="s">
        <v>830</v>
      </c>
    </row>
    <row r="26" spans="2:9" s="538" customFormat="1" ht="12">
      <c r="B26" s="566"/>
      <c r="E26" s="564" t="s">
        <v>834</v>
      </c>
      <c r="G26" s="564" t="s">
        <v>834</v>
      </c>
      <c r="I26" s="564" t="s">
        <v>834</v>
      </c>
    </row>
    <row r="27" spans="2:9" s="538" customFormat="1" ht="12">
      <c r="B27" s="538" t="s">
        <v>835</v>
      </c>
      <c r="E27" s="564" t="s">
        <v>813</v>
      </c>
      <c r="F27" s="564"/>
      <c r="G27" s="564" t="s">
        <v>813</v>
      </c>
      <c r="H27" s="564"/>
      <c r="I27" s="564" t="s">
        <v>813</v>
      </c>
    </row>
    <row r="28" spans="2:9" s="538" customFormat="1" ht="12">
      <c r="B28" s="538" t="s">
        <v>836</v>
      </c>
    </row>
    <row r="29" spans="2:9" s="538" customFormat="1" ht="12"/>
    <row r="30" spans="2:9" s="538" customFormat="1" ht="12">
      <c r="B30" s="538" t="s">
        <v>837</v>
      </c>
    </row>
    <row r="31" spans="2:9" s="538" customFormat="1" ht="12">
      <c r="B31" s="538" t="s">
        <v>838</v>
      </c>
    </row>
    <row r="32" spans="2:9" s="538" customFormat="1" ht="12">
      <c r="B32" s="538" t="s">
        <v>839</v>
      </c>
    </row>
    <row r="33" spans="2:9" s="538" customFormat="1" ht="12"/>
    <row r="34" spans="2:9" s="538" customFormat="1" ht="12">
      <c r="G34" s="546" t="s">
        <v>317</v>
      </c>
      <c r="H34" s="546"/>
      <c r="I34" s="546" t="s">
        <v>317</v>
      </c>
    </row>
    <row r="35" spans="2:9" s="538" customFormat="1" ht="12">
      <c r="G35" s="562" t="s">
        <v>828</v>
      </c>
      <c r="H35" s="546"/>
      <c r="I35" s="562" t="s">
        <v>829</v>
      </c>
    </row>
    <row r="36" spans="2:9" s="538" customFormat="1" ht="12">
      <c r="G36" s="563" t="s">
        <v>682</v>
      </c>
      <c r="H36" s="563"/>
      <c r="I36" s="563" t="s">
        <v>682</v>
      </c>
    </row>
    <row r="37" spans="2:9" s="538" customFormat="1" ht="12">
      <c r="B37" s="546" t="s">
        <v>840</v>
      </c>
    </row>
    <row r="38" spans="2:9" s="538" customFormat="1" ht="12">
      <c r="B38" s="538" t="s">
        <v>841</v>
      </c>
      <c r="G38" s="564" t="s">
        <v>813</v>
      </c>
      <c r="H38" s="564"/>
      <c r="I38" s="564" t="s">
        <v>813</v>
      </c>
    </row>
    <row r="39" spans="2:9" s="538" customFormat="1" ht="12">
      <c r="B39" s="538" t="s">
        <v>842</v>
      </c>
      <c r="G39" s="564" t="s">
        <v>813</v>
      </c>
      <c r="H39" s="564"/>
      <c r="I39" s="564" t="s">
        <v>813</v>
      </c>
    </row>
    <row r="40" spans="2:9" s="538" customFormat="1" ht="12">
      <c r="B40" s="546" t="s">
        <v>843</v>
      </c>
      <c r="G40" s="567" t="s">
        <v>813</v>
      </c>
      <c r="H40" s="564"/>
      <c r="I40" s="567" t="s">
        <v>813</v>
      </c>
    </row>
    <row r="41" spans="2:9" s="538" customFormat="1" ht="12">
      <c r="B41" s="546" t="s">
        <v>1025</v>
      </c>
      <c r="G41" s="564"/>
      <c r="H41" s="564"/>
      <c r="I41" s="564"/>
    </row>
    <row r="42" spans="2:9" s="538" customFormat="1" ht="12">
      <c r="B42" s="538" t="s">
        <v>844</v>
      </c>
      <c r="G42" s="564" t="s">
        <v>813</v>
      </c>
      <c r="H42" s="564"/>
      <c r="I42" s="564" t="s">
        <v>813</v>
      </c>
    </row>
    <row r="43" spans="2:9" s="538" customFormat="1" ht="12">
      <c r="B43" s="538" t="s">
        <v>845</v>
      </c>
      <c r="G43" s="564" t="s">
        <v>813</v>
      </c>
      <c r="H43" s="564"/>
      <c r="I43" s="564" t="s">
        <v>813</v>
      </c>
    </row>
    <row r="44" spans="2:9" s="538" customFormat="1" ht="12">
      <c r="B44" s="538" t="s">
        <v>846</v>
      </c>
      <c r="G44" s="567" t="s">
        <v>813</v>
      </c>
      <c r="H44" s="564"/>
      <c r="I44" s="567" t="s">
        <v>813</v>
      </c>
    </row>
    <row r="45" spans="2:9" s="538" customFormat="1" ht="12">
      <c r="B45" s="546" t="s">
        <v>847</v>
      </c>
      <c r="G45" s="564"/>
      <c r="H45" s="564"/>
      <c r="I45" s="564"/>
    </row>
    <row r="46" spans="2:9" s="538" customFormat="1" ht="12">
      <c r="B46" s="546" t="s">
        <v>848</v>
      </c>
      <c r="G46" s="564"/>
      <c r="H46" s="564"/>
      <c r="I46" s="564"/>
    </row>
    <row r="47" spans="2:9" s="538" customFormat="1" ht="12">
      <c r="B47" s="538" t="s">
        <v>849</v>
      </c>
      <c r="G47" s="564" t="s">
        <v>813</v>
      </c>
      <c r="H47" s="564"/>
      <c r="I47" s="564" t="s">
        <v>813</v>
      </c>
    </row>
    <row r="48" spans="2:9" s="538" customFormat="1" ht="12">
      <c r="B48" s="538" t="s">
        <v>850</v>
      </c>
      <c r="G48" s="564" t="s">
        <v>813</v>
      </c>
      <c r="H48" s="564"/>
      <c r="I48" s="564" t="s">
        <v>813</v>
      </c>
    </row>
    <row r="49" spans="2:10" s="538" customFormat="1" ht="12">
      <c r="B49" s="538" t="s">
        <v>851</v>
      </c>
      <c r="G49" s="564" t="s">
        <v>813</v>
      </c>
      <c r="H49" s="564"/>
      <c r="I49" s="564" t="s">
        <v>813</v>
      </c>
    </row>
    <row r="50" spans="2:10" s="538" customFormat="1" ht="12">
      <c r="B50" s="546" t="s">
        <v>852</v>
      </c>
      <c r="G50" s="567" t="s">
        <v>813</v>
      </c>
      <c r="H50" s="564"/>
      <c r="I50" s="567" t="s">
        <v>813</v>
      </c>
    </row>
    <row r="51" spans="2:10" s="538" customFormat="1" ht="12">
      <c r="B51" s="546" t="s">
        <v>853</v>
      </c>
      <c r="G51" s="567"/>
      <c r="H51" s="564"/>
      <c r="I51" s="567"/>
    </row>
    <row r="52" spans="2:10" s="538" customFormat="1" ht="12">
      <c r="B52" s="546" t="s">
        <v>854</v>
      </c>
      <c r="G52" s="564"/>
      <c r="H52" s="564"/>
      <c r="I52" s="564"/>
    </row>
    <row r="53" spans="2:10" s="538" customFormat="1" ht="12">
      <c r="B53" s="538" t="s">
        <v>855</v>
      </c>
      <c r="G53" s="564" t="s">
        <v>813</v>
      </c>
      <c r="H53" s="564"/>
      <c r="I53" s="564" t="s">
        <v>813</v>
      </c>
    </row>
    <row r="54" spans="2:10" s="538" customFormat="1" ht="12">
      <c r="B54" s="538" t="s">
        <v>856</v>
      </c>
      <c r="G54" s="564" t="s">
        <v>813</v>
      </c>
      <c r="H54" s="564"/>
      <c r="I54" s="564" t="s">
        <v>813</v>
      </c>
    </row>
    <row r="55" spans="2:10" s="538" customFormat="1" ht="12">
      <c r="B55" s="538" t="s">
        <v>857</v>
      </c>
      <c r="G55" s="564" t="s">
        <v>813</v>
      </c>
      <c r="H55" s="564"/>
      <c r="I55" s="564" t="s">
        <v>813</v>
      </c>
    </row>
    <row r="56" spans="2:10" s="538" customFormat="1" ht="12">
      <c r="B56" s="538" t="s">
        <v>858</v>
      </c>
      <c r="G56" s="564" t="s">
        <v>813</v>
      </c>
      <c r="H56" s="564"/>
      <c r="I56" s="564" t="s">
        <v>813</v>
      </c>
    </row>
    <row r="57" spans="2:10" s="538" customFormat="1" ht="12">
      <c r="B57" s="538" t="s">
        <v>859</v>
      </c>
      <c r="G57" s="564" t="s">
        <v>813</v>
      </c>
      <c r="H57" s="564"/>
      <c r="I57" s="564" t="s">
        <v>813</v>
      </c>
    </row>
    <row r="58" spans="2:10" s="538" customFormat="1" ht="12">
      <c r="B58" s="546" t="s">
        <v>860</v>
      </c>
      <c r="G58" s="567" t="s">
        <v>813</v>
      </c>
      <c r="H58" s="564"/>
      <c r="I58" s="567" t="s">
        <v>813</v>
      </c>
    </row>
    <row r="59" spans="2:10" s="538" customFormat="1" ht="12">
      <c r="G59" s="564"/>
      <c r="H59" s="564"/>
      <c r="I59" s="564"/>
    </row>
    <row r="60" spans="2:10" s="538" customFormat="1">
      <c r="B60" s="149"/>
      <c r="C60" s="149"/>
      <c r="D60" s="149"/>
      <c r="E60" s="149"/>
      <c r="F60" s="149"/>
      <c r="G60" s="149"/>
      <c r="H60" s="149"/>
      <c r="I60" s="149"/>
      <c r="J60" s="149"/>
    </row>
    <row r="61" spans="2:10" s="538" customFormat="1">
      <c r="B61" s="149"/>
      <c r="C61" s="149"/>
      <c r="D61" s="149"/>
      <c r="E61" s="149"/>
      <c r="F61" s="149"/>
      <c r="G61" s="149"/>
      <c r="H61" s="149"/>
      <c r="I61" s="149"/>
      <c r="J61" s="149"/>
    </row>
    <row r="62" spans="2:10" s="538" customFormat="1">
      <c r="B62" s="149"/>
      <c r="C62" s="149"/>
      <c r="D62" s="149"/>
      <c r="E62" s="149"/>
      <c r="F62" s="149"/>
      <c r="G62" s="149"/>
      <c r="H62" s="149"/>
      <c r="I62" s="149"/>
      <c r="J62" s="149"/>
    </row>
    <row r="63" spans="2:10" s="538" customFormat="1">
      <c r="B63" s="149"/>
      <c r="C63" s="149"/>
      <c r="D63" s="149"/>
      <c r="E63" s="149"/>
      <c r="F63" s="149"/>
      <c r="G63" s="149"/>
      <c r="H63" s="149"/>
      <c r="I63" s="149"/>
      <c r="J63" s="149"/>
    </row>
    <row r="64" spans="2:10" s="538" customFormat="1">
      <c r="B64" s="149"/>
      <c r="C64" s="149"/>
      <c r="D64" s="149"/>
      <c r="E64" s="149"/>
      <c r="F64" s="149"/>
      <c r="G64" s="149"/>
      <c r="H64" s="149"/>
      <c r="I64" s="149"/>
      <c r="J64" s="149"/>
    </row>
    <row r="65" spans="2:10" s="538" customFormat="1">
      <c r="B65" s="149"/>
      <c r="C65" s="149"/>
      <c r="D65" s="149"/>
      <c r="E65" s="149"/>
      <c r="F65" s="149"/>
      <c r="G65" s="149"/>
      <c r="H65" s="149"/>
      <c r="I65" s="149"/>
      <c r="J65" s="149"/>
    </row>
    <row r="66" spans="2:10" s="538" customFormat="1">
      <c r="B66" s="149"/>
      <c r="C66" s="149"/>
      <c r="D66" s="149"/>
      <c r="E66" s="149"/>
      <c r="F66" s="149"/>
      <c r="G66" s="149"/>
      <c r="H66" s="149"/>
      <c r="I66" s="149"/>
      <c r="J66" s="149"/>
    </row>
    <row r="67" spans="2:10" s="538" customFormat="1">
      <c r="B67" s="149"/>
      <c r="C67" s="149"/>
      <c r="D67" s="149"/>
      <c r="E67" s="149"/>
      <c r="F67" s="149"/>
      <c r="G67" s="149"/>
      <c r="H67" s="149"/>
      <c r="I67" s="149"/>
      <c r="J67" s="149"/>
    </row>
    <row r="68" spans="2:10" s="538" customFormat="1">
      <c r="B68" s="149"/>
      <c r="C68" s="149"/>
      <c r="D68" s="149"/>
      <c r="E68" s="149"/>
      <c r="F68" s="149"/>
      <c r="G68" s="149"/>
      <c r="H68" s="149"/>
      <c r="I68" s="149"/>
      <c r="J68" s="149"/>
    </row>
    <row r="69" spans="2:10" s="538" customFormat="1">
      <c r="B69" s="149"/>
      <c r="C69" s="149"/>
      <c r="D69" s="149"/>
      <c r="E69" s="149"/>
      <c r="F69" s="149"/>
      <c r="G69" s="149"/>
      <c r="H69" s="149"/>
      <c r="I69" s="149"/>
      <c r="J69" s="149"/>
    </row>
  </sheetData>
  <mergeCells count="1">
    <mergeCell ref="E15:I15"/>
  </mergeCells>
  <pageMargins left="0.70866141732283472" right="0.70866141732283472" top="0.74803149606299213" bottom="0.74803149606299213" header="0.31496062992125984" footer="0.31496062992125984"/>
  <pageSetup paperSize="9" scale="98" orientation="portrait" r:id="rId1"/>
  <headerFooter>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zoomScaleNormal="100" zoomScaleSheetLayoutView="100" zoomScalePageLayoutView="70" workbookViewId="0">
      <selection activeCell="A6" sqref="A6"/>
    </sheetView>
  </sheetViews>
  <sheetFormatPr defaultRowHeight="12.75"/>
  <cols>
    <col min="1" max="1" width="2.85546875" style="149" customWidth="1"/>
    <col min="2" max="6" width="9.140625" style="149"/>
    <col min="7" max="7" width="9.7109375" style="149" customWidth="1"/>
    <col min="8" max="16384" width="9.140625" style="149"/>
  </cols>
  <sheetData>
    <row r="1" spans="1:11" s="480" customFormat="1" ht="30" customHeight="1">
      <c r="A1" s="480" t="s">
        <v>298</v>
      </c>
    </row>
    <row r="2" spans="1:11" s="481" customFormat="1" ht="19.5" customHeight="1">
      <c r="A2" s="481" t="s">
        <v>129</v>
      </c>
    </row>
    <row r="3" spans="1:11" s="485" customFormat="1" ht="15" customHeight="1" thickBot="1">
      <c r="A3" s="482"/>
      <c r="B3" s="483"/>
      <c r="C3" s="483"/>
      <c r="D3" s="483"/>
      <c r="E3" s="483"/>
      <c r="F3" s="483"/>
      <c r="G3" s="483"/>
      <c r="H3" s="483"/>
      <c r="I3" s="483"/>
      <c r="J3" s="483"/>
      <c r="K3" s="483"/>
    </row>
    <row r="4" spans="1:11" s="487" customFormat="1" ht="15" customHeight="1">
      <c r="A4" s="486"/>
    </row>
    <row r="5" spans="1:11" s="491" customFormat="1" ht="15" customHeight="1">
      <c r="A5" s="489">
        <v>34</v>
      </c>
      <c r="B5" s="490" t="s">
        <v>702</v>
      </c>
      <c r="C5" s="490"/>
      <c r="E5" s="492"/>
      <c r="F5" s="493"/>
      <c r="G5" s="493"/>
      <c r="H5" s="493"/>
      <c r="I5" s="493"/>
      <c r="J5" s="493"/>
      <c r="K5" s="493"/>
    </row>
    <row r="7" spans="1:11" s="538" customFormat="1" ht="12"/>
    <row r="8" spans="1:11" s="538" customFormat="1" ht="12">
      <c r="B8" s="546" t="s">
        <v>861</v>
      </c>
    </row>
    <row r="9" spans="1:11" s="538" customFormat="1" ht="12">
      <c r="F9" s="842" t="s">
        <v>862</v>
      </c>
      <c r="G9" s="842"/>
      <c r="H9" s="842"/>
      <c r="I9" s="842"/>
      <c r="J9" s="842"/>
    </row>
    <row r="10" spans="1:11" s="538" customFormat="1" ht="12">
      <c r="F10" s="568">
        <v>41121</v>
      </c>
      <c r="G10" s="568">
        <v>41121</v>
      </c>
      <c r="H10" s="568">
        <v>41121</v>
      </c>
      <c r="I10" s="568">
        <v>41121</v>
      </c>
      <c r="J10" s="568">
        <v>41121</v>
      </c>
    </row>
    <row r="11" spans="1:11" s="538" customFormat="1" ht="12">
      <c r="B11" s="569"/>
      <c r="F11" s="563" t="s">
        <v>427</v>
      </c>
      <c r="G11" s="563" t="s">
        <v>428</v>
      </c>
      <c r="H11" s="563" t="s">
        <v>429</v>
      </c>
      <c r="I11" s="563" t="s">
        <v>430</v>
      </c>
      <c r="J11" s="563" t="s">
        <v>431</v>
      </c>
    </row>
    <row r="12" spans="1:11" s="538" customFormat="1" ht="12">
      <c r="B12" s="546" t="s">
        <v>863</v>
      </c>
    </row>
    <row r="13" spans="1:11" s="538" customFormat="1" ht="12">
      <c r="B13" s="538" t="s">
        <v>864</v>
      </c>
      <c r="F13" s="564" t="s">
        <v>813</v>
      </c>
      <c r="G13" s="564" t="s">
        <v>813</v>
      </c>
      <c r="H13" s="564" t="s">
        <v>813</v>
      </c>
      <c r="I13" s="564" t="s">
        <v>813</v>
      </c>
      <c r="J13" s="564" t="s">
        <v>813</v>
      </c>
    </row>
    <row r="14" spans="1:11" s="538" customFormat="1" ht="12">
      <c r="B14" s="538" t="s">
        <v>865</v>
      </c>
      <c r="F14" s="564" t="s">
        <v>813</v>
      </c>
      <c r="G14" s="564" t="s">
        <v>813</v>
      </c>
      <c r="H14" s="564" t="s">
        <v>813</v>
      </c>
      <c r="I14" s="564" t="s">
        <v>813</v>
      </c>
      <c r="J14" s="564" t="s">
        <v>813</v>
      </c>
    </row>
    <row r="15" spans="1:11" s="538" customFormat="1" ht="12">
      <c r="B15" s="546" t="s">
        <v>866</v>
      </c>
    </row>
    <row r="16" spans="1:11" s="538" customFormat="1" ht="12">
      <c r="B16" s="538" t="s">
        <v>864</v>
      </c>
      <c r="F16" s="564" t="s">
        <v>813</v>
      </c>
      <c r="G16" s="564" t="s">
        <v>813</v>
      </c>
      <c r="H16" s="564" t="s">
        <v>813</v>
      </c>
      <c r="I16" s="564" t="s">
        <v>813</v>
      </c>
      <c r="J16" s="564" t="s">
        <v>813</v>
      </c>
    </row>
    <row r="17" spans="2:10" s="538" customFormat="1" ht="12">
      <c r="B17" s="538" t="s">
        <v>867</v>
      </c>
      <c r="F17" s="564" t="s">
        <v>813</v>
      </c>
      <c r="G17" s="564" t="s">
        <v>813</v>
      </c>
      <c r="H17" s="564" t="s">
        <v>813</v>
      </c>
      <c r="I17" s="564" t="s">
        <v>813</v>
      </c>
      <c r="J17" s="564" t="s">
        <v>813</v>
      </c>
    </row>
    <row r="18" spans="2:10" s="538" customFormat="1" ht="12">
      <c r="B18" s="569"/>
    </row>
    <row r="19" spans="2:10" s="538" customFormat="1" ht="12">
      <c r="H19" s="570" t="s">
        <v>868</v>
      </c>
      <c r="I19" s="546"/>
      <c r="J19" s="570" t="s">
        <v>868</v>
      </c>
    </row>
    <row r="20" spans="2:10" s="538" customFormat="1">
      <c r="B20" s="569"/>
      <c r="H20" s="563" t="s">
        <v>427</v>
      </c>
      <c r="I20" s="546"/>
      <c r="J20" s="571" t="s">
        <v>428</v>
      </c>
    </row>
    <row r="21" spans="2:10" s="538" customFormat="1" ht="12">
      <c r="H21" s="563" t="s">
        <v>682</v>
      </c>
      <c r="I21" s="563"/>
      <c r="J21" s="563" t="s">
        <v>682</v>
      </c>
    </row>
    <row r="22" spans="2:10" s="538" customFormat="1" ht="12">
      <c r="B22" s="546" t="s">
        <v>869</v>
      </c>
    </row>
    <row r="23" spans="2:10" s="538" customFormat="1" ht="12">
      <c r="B23" s="546" t="s">
        <v>870</v>
      </c>
    </row>
    <row r="24" spans="2:10" s="538" customFormat="1" ht="12">
      <c r="B24" s="538" t="s">
        <v>871</v>
      </c>
      <c r="H24" s="564" t="s">
        <v>813</v>
      </c>
      <c r="I24" s="564"/>
      <c r="J24" s="564" t="s">
        <v>813</v>
      </c>
    </row>
    <row r="25" spans="2:10" s="538" customFormat="1" ht="12">
      <c r="B25" s="538" t="s">
        <v>872</v>
      </c>
      <c r="H25" s="564" t="s">
        <v>813</v>
      </c>
      <c r="I25" s="564"/>
      <c r="J25" s="564" t="s">
        <v>813</v>
      </c>
    </row>
    <row r="26" spans="2:10" s="538" customFormat="1" ht="12">
      <c r="B26" s="546" t="s">
        <v>873</v>
      </c>
    </row>
    <row r="27" spans="2:10" s="546" customFormat="1" ht="12">
      <c r="B27" s="546" t="s">
        <v>874</v>
      </c>
      <c r="H27" s="563" t="s">
        <v>813</v>
      </c>
      <c r="I27" s="563"/>
      <c r="J27" s="563" t="s">
        <v>813</v>
      </c>
    </row>
    <row r="28" spans="2:10" s="538" customFormat="1" ht="12">
      <c r="B28" s="538" t="s">
        <v>875</v>
      </c>
      <c r="H28" s="564" t="s">
        <v>813</v>
      </c>
      <c r="I28" s="564"/>
      <c r="J28" s="564" t="s">
        <v>813</v>
      </c>
    </row>
    <row r="29" spans="2:10" s="538" customFormat="1" ht="12">
      <c r="B29" s="538" t="s">
        <v>876</v>
      </c>
      <c r="H29" s="564" t="s">
        <v>813</v>
      </c>
      <c r="I29" s="564"/>
      <c r="J29" s="564" t="s">
        <v>813</v>
      </c>
    </row>
    <row r="30" spans="2:10" s="538" customFormat="1" ht="12">
      <c r="B30" s="538" t="s">
        <v>877</v>
      </c>
      <c r="H30" s="564" t="s">
        <v>813</v>
      </c>
      <c r="I30" s="564"/>
      <c r="J30" s="564" t="s">
        <v>813</v>
      </c>
    </row>
    <row r="31" spans="2:10" s="538" customFormat="1" ht="12">
      <c r="B31" s="538" t="s">
        <v>878</v>
      </c>
      <c r="H31" s="564" t="s">
        <v>813</v>
      </c>
      <c r="I31" s="564"/>
      <c r="J31" s="564" t="s">
        <v>813</v>
      </c>
    </row>
    <row r="32" spans="2:10" s="538" customFormat="1" ht="12">
      <c r="B32" s="538" t="s">
        <v>879</v>
      </c>
      <c r="H32" s="564" t="s">
        <v>813</v>
      </c>
      <c r="I32" s="564"/>
      <c r="J32" s="564" t="s">
        <v>813</v>
      </c>
    </row>
    <row r="33" spans="2:10" s="546" customFormat="1" ht="12">
      <c r="B33" s="546" t="s">
        <v>880</v>
      </c>
      <c r="H33" s="572" t="s">
        <v>813</v>
      </c>
      <c r="I33" s="563"/>
      <c r="J33" s="572" t="s">
        <v>813</v>
      </c>
    </row>
    <row r="34" spans="2:10" s="538" customFormat="1" ht="12"/>
    <row r="35" spans="2:10" s="538" customFormat="1" ht="12">
      <c r="H35" s="563" t="s">
        <v>862</v>
      </c>
      <c r="I35" s="546"/>
      <c r="J35" s="563" t="s">
        <v>881</v>
      </c>
    </row>
    <row r="36" spans="2:10" s="538" customFormat="1" ht="12">
      <c r="H36" s="563" t="s">
        <v>318</v>
      </c>
      <c r="I36" s="546"/>
      <c r="J36" s="563" t="s">
        <v>319</v>
      </c>
    </row>
    <row r="37" spans="2:10" s="538" customFormat="1" ht="12">
      <c r="H37" s="563" t="s">
        <v>682</v>
      </c>
      <c r="I37" s="546"/>
      <c r="J37" s="563" t="s">
        <v>682</v>
      </c>
    </row>
    <row r="38" spans="2:10" s="538" customFormat="1" ht="12">
      <c r="B38" s="546" t="s">
        <v>882</v>
      </c>
    </row>
    <row r="39" spans="2:10" s="546" customFormat="1" ht="12">
      <c r="B39" s="546" t="s">
        <v>883</v>
      </c>
      <c r="H39" s="563" t="s">
        <v>813</v>
      </c>
      <c r="I39" s="563"/>
      <c r="J39" s="563" t="s">
        <v>813</v>
      </c>
    </row>
    <row r="40" spans="2:10" s="538" customFormat="1" ht="12">
      <c r="B40" s="538" t="s">
        <v>884</v>
      </c>
      <c r="H40" s="564" t="s">
        <v>813</v>
      </c>
      <c r="I40" s="564"/>
      <c r="J40" s="564" t="s">
        <v>813</v>
      </c>
    </row>
    <row r="41" spans="2:10" s="538" customFormat="1" ht="12">
      <c r="B41" s="538" t="s">
        <v>877</v>
      </c>
      <c r="H41" s="564" t="s">
        <v>813</v>
      </c>
      <c r="I41" s="564"/>
      <c r="J41" s="564" t="s">
        <v>813</v>
      </c>
    </row>
    <row r="42" spans="2:10" s="538" customFormat="1" ht="12">
      <c r="B42" s="538" t="s">
        <v>376</v>
      </c>
      <c r="H42" s="564" t="s">
        <v>813</v>
      </c>
      <c r="I42" s="564"/>
      <c r="J42" s="564" t="s">
        <v>813</v>
      </c>
    </row>
    <row r="43" spans="2:10" s="538" customFormat="1" ht="12">
      <c r="B43" s="538" t="s">
        <v>885</v>
      </c>
      <c r="H43" s="564" t="s">
        <v>813</v>
      </c>
      <c r="I43" s="564"/>
      <c r="J43" s="564" t="s">
        <v>813</v>
      </c>
    </row>
    <row r="44" spans="2:10" s="538" customFormat="1" ht="12">
      <c r="B44" s="538" t="s">
        <v>886</v>
      </c>
      <c r="H44" s="564" t="s">
        <v>813</v>
      </c>
      <c r="I44" s="564"/>
      <c r="J44" s="564" t="s">
        <v>813</v>
      </c>
    </row>
    <row r="45" spans="2:10" s="538" customFormat="1" ht="12">
      <c r="B45" s="538" t="s">
        <v>887</v>
      </c>
      <c r="H45" s="564" t="s">
        <v>813</v>
      </c>
      <c r="I45" s="564"/>
      <c r="J45" s="564" t="s">
        <v>813</v>
      </c>
    </row>
    <row r="46" spans="2:10" s="546" customFormat="1" ht="12">
      <c r="B46" s="546" t="s">
        <v>888</v>
      </c>
      <c r="H46" s="572" t="s">
        <v>813</v>
      </c>
      <c r="I46" s="563"/>
      <c r="J46" s="572" t="s">
        <v>813</v>
      </c>
    </row>
    <row r="47" spans="2:10" s="538" customFormat="1" ht="12"/>
  </sheetData>
  <mergeCells count="1">
    <mergeCell ref="F9:J9"/>
  </mergeCells>
  <pageMargins left="0.70866141732283472" right="0.70866141732283472" top="0.74803149606299213" bottom="0.74803149606299213" header="0.31496062992125984" footer="0.31496062992125984"/>
  <pageSetup paperSize="9" scale="91" orientation="portrait" r:id="rId1"/>
  <headerFooter>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view="pageBreakPreview" zoomScaleNormal="100" zoomScaleSheetLayoutView="100" zoomScalePageLayoutView="70" workbookViewId="0">
      <selection activeCell="K49" sqref="K49"/>
    </sheetView>
  </sheetViews>
  <sheetFormatPr defaultRowHeight="12.75"/>
  <cols>
    <col min="1" max="1" width="3.5703125" style="149" customWidth="1"/>
    <col min="2" max="16384" width="9.140625" style="149"/>
  </cols>
  <sheetData>
    <row r="1" spans="1:12" s="480" customFormat="1" ht="30" customHeight="1">
      <c r="A1" s="480" t="s">
        <v>298</v>
      </c>
    </row>
    <row r="2" spans="1:12" s="481" customFormat="1" ht="19.5" customHeight="1">
      <c r="A2" s="481" t="s">
        <v>129</v>
      </c>
    </row>
    <row r="3" spans="1:12" s="485" customFormat="1" ht="15" customHeight="1" thickBot="1">
      <c r="A3" s="482"/>
      <c r="B3" s="483"/>
      <c r="C3" s="483"/>
      <c r="D3" s="483"/>
      <c r="E3" s="483"/>
      <c r="F3" s="483"/>
      <c r="G3" s="483"/>
      <c r="H3" s="483"/>
      <c r="I3" s="483"/>
      <c r="J3" s="483"/>
      <c r="K3" s="483"/>
      <c r="L3" s="484"/>
    </row>
    <row r="4" spans="1:12" s="487" customFormat="1" ht="15" customHeight="1">
      <c r="A4" s="486"/>
    </row>
    <row r="5" spans="1:12" s="491" customFormat="1" ht="15" customHeight="1">
      <c r="A5" s="489">
        <v>34</v>
      </c>
      <c r="B5" s="490" t="s">
        <v>702</v>
      </c>
      <c r="C5" s="490"/>
      <c r="E5" s="492"/>
      <c r="F5" s="493"/>
      <c r="G5" s="493"/>
      <c r="H5" s="493"/>
      <c r="I5" s="493"/>
      <c r="J5" s="493"/>
      <c r="K5" s="493"/>
      <c r="L5" s="493"/>
    </row>
    <row r="7" spans="1:12">
      <c r="H7" s="563" t="s">
        <v>862</v>
      </c>
      <c r="I7" s="546"/>
      <c r="J7" s="563" t="s">
        <v>881</v>
      </c>
    </row>
    <row r="8" spans="1:12">
      <c r="H8" s="563" t="s">
        <v>318</v>
      </c>
      <c r="I8" s="546"/>
      <c r="J8" s="563" t="s">
        <v>319</v>
      </c>
    </row>
    <row r="9" spans="1:12">
      <c r="H9" s="563" t="s">
        <v>682</v>
      </c>
      <c r="I9" s="546"/>
      <c r="J9" s="563" t="s">
        <v>682</v>
      </c>
    </row>
    <row r="10" spans="1:12" s="538" customFormat="1" ht="12">
      <c r="B10" s="546" t="s">
        <v>889</v>
      </c>
    </row>
    <row r="11" spans="1:12" s="546" customFormat="1" ht="12">
      <c r="B11" s="546" t="s">
        <v>890</v>
      </c>
      <c r="H11" s="563" t="s">
        <v>813</v>
      </c>
      <c r="I11" s="563"/>
      <c r="J11" s="563" t="s">
        <v>813</v>
      </c>
    </row>
    <row r="12" spans="1:12" s="538" customFormat="1" ht="12">
      <c r="B12" s="538" t="s">
        <v>850</v>
      </c>
      <c r="H12" s="564" t="s">
        <v>813</v>
      </c>
      <c r="I12" s="564"/>
      <c r="J12" s="564" t="s">
        <v>813</v>
      </c>
    </row>
    <row r="13" spans="1:12" s="538" customFormat="1" ht="12">
      <c r="B13" s="538" t="s">
        <v>891</v>
      </c>
      <c r="H13" s="564" t="s">
        <v>813</v>
      </c>
      <c r="I13" s="564"/>
      <c r="J13" s="564" t="s">
        <v>813</v>
      </c>
    </row>
    <row r="14" spans="1:12" s="538" customFormat="1" ht="12">
      <c r="B14" s="538" t="s">
        <v>892</v>
      </c>
      <c r="H14" s="564" t="s">
        <v>813</v>
      </c>
      <c r="I14" s="564"/>
      <c r="J14" s="564" t="s">
        <v>813</v>
      </c>
    </row>
    <row r="15" spans="1:12" s="538" customFormat="1" ht="12">
      <c r="B15" s="538" t="s">
        <v>885</v>
      </c>
      <c r="H15" s="564" t="s">
        <v>813</v>
      </c>
      <c r="I15" s="564"/>
      <c r="J15" s="564" t="s">
        <v>813</v>
      </c>
    </row>
    <row r="16" spans="1:12" s="538" customFormat="1" ht="12">
      <c r="B16" s="538" t="s">
        <v>887</v>
      </c>
      <c r="H16" s="564" t="s">
        <v>813</v>
      </c>
      <c r="I16" s="564"/>
      <c r="J16" s="564" t="s">
        <v>813</v>
      </c>
    </row>
    <row r="17" spans="2:10" s="546" customFormat="1" ht="12">
      <c r="B17" s="546" t="s">
        <v>893</v>
      </c>
      <c r="H17" s="572" t="s">
        <v>813</v>
      </c>
      <c r="I17" s="563"/>
      <c r="J17" s="572" t="s">
        <v>813</v>
      </c>
    </row>
    <row r="18" spans="2:10" s="538" customFormat="1" ht="12"/>
    <row r="19" spans="2:10" s="538" customFormat="1" ht="12">
      <c r="B19" s="538" t="s">
        <v>894</v>
      </c>
    </row>
    <row r="20" spans="2:10" s="538" customFormat="1" ht="12">
      <c r="B20" s="538" t="s">
        <v>895</v>
      </c>
    </row>
    <row r="21" spans="2:10" s="538" customFormat="1" ht="12"/>
    <row r="22" spans="2:10" s="538" customFormat="1" ht="12">
      <c r="H22" s="563" t="s">
        <v>862</v>
      </c>
      <c r="I22" s="546"/>
      <c r="J22" s="563" t="s">
        <v>881</v>
      </c>
    </row>
    <row r="23" spans="2:10" s="538" customFormat="1" ht="12">
      <c r="B23" s="566"/>
      <c r="H23" s="563" t="s">
        <v>318</v>
      </c>
      <c r="I23" s="546"/>
      <c r="J23" s="563" t="s">
        <v>319</v>
      </c>
    </row>
    <row r="24" spans="2:10" s="538" customFormat="1" ht="12">
      <c r="H24" s="563" t="s">
        <v>682</v>
      </c>
      <c r="I24" s="546"/>
      <c r="J24" s="563" t="s">
        <v>682</v>
      </c>
    </row>
    <row r="25" spans="2:10" s="538" customFormat="1" ht="12">
      <c r="B25" s="546" t="s">
        <v>896</v>
      </c>
    </row>
    <row r="26" spans="2:10" s="538" customFormat="1" ht="12">
      <c r="B26" s="538" t="s">
        <v>897</v>
      </c>
      <c r="H26" s="564" t="s">
        <v>813</v>
      </c>
      <c r="I26" s="564"/>
      <c r="J26" s="564" t="s">
        <v>813</v>
      </c>
    </row>
    <row r="27" spans="2:10" s="538" customFormat="1" ht="12">
      <c r="B27" s="538" t="s">
        <v>898</v>
      </c>
      <c r="H27" s="564" t="s">
        <v>813</v>
      </c>
      <c r="I27" s="564"/>
      <c r="J27" s="564" t="s">
        <v>813</v>
      </c>
    </row>
    <row r="28" spans="2:10" s="538" customFormat="1" ht="12">
      <c r="H28" s="572" t="s">
        <v>813</v>
      </c>
      <c r="I28" s="563"/>
      <c r="J28" s="572" t="s">
        <v>813</v>
      </c>
    </row>
    <row r="29" spans="2:10" s="538" customFormat="1" ht="12"/>
    <row r="30" spans="2:10" s="538" customFormat="1" ht="12">
      <c r="B30" s="538" t="s">
        <v>899</v>
      </c>
    </row>
    <row r="31" spans="2:10" s="538" customFormat="1" ht="12">
      <c r="B31" s="538" t="s">
        <v>900</v>
      </c>
    </row>
    <row r="32" spans="2:10" s="538" customFormat="1" ht="12"/>
    <row r="34" spans="1:10">
      <c r="A34" s="489">
        <v>35</v>
      </c>
      <c r="B34" s="490" t="s">
        <v>901</v>
      </c>
      <c r="C34" s="490"/>
      <c r="D34" s="491"/>
      <c r="E34" s="492"/>
      <c r="F34" s="493"/>
      <c r="G34" s="493"/>
      <c r="H34" s="493"/>
      <c r="I34" s="493"/>
      <c r="J34" s="493"/>
    </row>
    <row r="36" spans="1:10">
      <c r="B36" s="542" t="s">
        <v>921</v>
      </c>
      <c r="H36" s="563"/>
      <c r="I36" s="546"/>
      <c r="J36" s="563"/>
    </row>
    <row r="37" spans="1:10">
      <c r="B37" s="542" t="s">
        <v>922</v>
      </c>
      <c r="H37" s="563"/>
      <c r="I37" s="546"/>
      <c r="J37" s="563"/>
    </row>
    <row r="38" spans="1:10">
      <c r="B38" s="538" t="s">
        <v>924</v>
      </c>
      <c r="H38" s="563"/>
      <c r="I38" s="546"/>
      <c r="J38" s="563"/>
    </row>
    <row r="39" spans="1:10">
      <c r="A39" s="538"/>
      <c r="B39" s="538" t="s">
        <v>923</v>
      </c>
      <c r="C39" s="538"/>
      <c r="D39" s="538"/>
      <c r="E39" s="538"/>
      <c r="F39" s="538"/>
      <c r="G39" s="538"/>
      <c r="H39" s="538"/>
      <c r="I39" s="538"/>
      <c r="J39" s="538"/>
    </row>
    <row r="40" spans="1:10">
      <c r="A40" s="546"/>
      <c r="B40" s="546"/>
      <c r="C40" s="546"/>
      <c r="D40" s="546"/>
      <c r="E40" s="546"/>
      <c r="F40" s="546"/>
      <c r="G40" s="546"/>
      <c r="H40" s="563"/>
      <c r="I40" s="563"/>
      <c r="J40" s="563"/>
    </row>
    <row r="41" spans="1:10">
      <c r="B41" s="538" t="s">
        <v>925</v>
      </c>
    </row>
    <row r="42" spans="1:10">
      <c r="B42" s="538"/>
    </row>
    <row r="43" spans="1:10">
      <c r="B43" s="538"/>
    </row>
    <row r="44" spans="1:10">
      <c r="B44" s="538" t="s">
        <v>902</v>
      </c>
    </row>
    <row r="45" spans="1:10">
      <c r="B45" s="538"/>
    </row>
    <row r="46" spans="1:10">
      <c r="B46" s="538" t="s">
        <v>927</v>
      </c>
    </row>
    <row r="47" spans="1:10">
      <c r="B47" s="538" t="s">
        <v>926</v>
      </c>
    </row>
    <row r="48" spans="1:10">
      <c r="B48" s="538"/>
    </row>
    <row r="49" spans="2:2">
      <c r="B49" s="538" t="s">
        <v>903</v>
      </c>
    </row>
    <row r="50" spans="2:2">
      <c r="B50" s="538"/>
    </row>
    <row r="51" spans="2:2">
      <c r="B51" s="538" t="s">
        <v>904</v>
      </c>
    </row>
    <row r="52" spans="2:2">
      <c r="B52" s="538"/>
    </row>
    <row r="53" spans="2:2">
      <c r="B53" s="538"/>
    </row>
  </sheetData>
  <pageMargins left="0.70866141732283472" right="0.70866141732283472" top="0.74803149606299213" bottom="0.74803149606299213" header="0.31496062992125984" footer="0.31496062992125984"/>
  <pageSetup paperSize="9" scale="83" orientation="portrait" r:id="rId1"/>
  <headerFooter>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view="pageBreakPreview" topLeftCell="A16" zoomScaleNormal="100" zoomScaleSheetLayoutView="100" zoomScalePageLayoutView="70" workbookViewId="0">
      <selection activeCell="D47" sqref="D47"/>
    </sheetView>
  </sheetViews>
  <sheetFormatPr defaultColWidth="11.42578125" defaultRowHeight="12.75"/>
  <cols>
    <col min="1" max="2" width="2.7109375" style="594" customWidth="1"/>
    <col min="3" max="3" width="2.140625" style="495" customWidth="1"/>
    <col min="4" max="4" width="46.5703125" style="495" customWidth="1"/>
    <col min="5" max="5" width="2.85546875" style="495" customWidth="1"/>
    <col min="6" max="6" width="13.28515625" style="495" customWidth="1"/>
    <col min="7" max="7" width="2.85546875" style="495" customWidth="1"/>
    <col min="8" max="8" width="13.28515625" style="596" customWidth="1"/>
    <col min="9" max="9" width="2.85546875" style="595" customWidth="1"/>
    <col min="10" max="10" width="13.28515625" style="595" customWidth="1"/>
    <col min="11" max="11" width="2.85546875" style="495" customWidth="1"/>
    <col min="12" max="12" width="13.28515625" style="495" customWidth="1"/>
    <col min="13" max="13" width="2.85546875" style="495" customWidth="1"/>
    <col min="14" max="14" width="10.7109375" style="495" customWidth="1"/>
    <col min="15" max="15" width="8.28515625" style="495" customWidth="1"/>
    <col min="16" max="16" width="4" style="495" customWidth="1"/>
    <col min="17" max="16384" width="11.42578125" style="495"/>
  </cols>
  <sheetData>
    <row r="1" spans="1:18" s="146" customFormat="1" ht="23.25">
      <c r="A1" s="146" t="s">
        <v>298</v>
      </c>
    </row>
    <row r="2" spans="1:18" s="147" customFormat="1" ht="18">
      <c r="A2" s="147" t="s">
        <v>129</v>
      </c>
    </row>
    <row r="3" spans="1:18" s="496" customFormat="1" ht="18.75" thickBot="1">
      <c r="A3" s="573"/>
      <c r="B3" s="788"/>
      <c r="C3" s="574"/>
      <c r="D3" s="574"/>
      <c r="E3" s="574"/>
      <c r="F3" s="574"/>
      <c r="G3" s="574"/>
      <c r="H3" s="575"/>
      <c r="I3" s="576"/>
      <c r="J3" s="576"/>
      <c r="K3" s="574"/>
      <c r="L3" s="574"/>
      <c r="M3" s="574"/>
      <c r="N3" s="574"/>
      <c r="O3" s="577"/>
    </row>
    <row r="4" spans="1:18" s="496" customFormat="1" ht="12">
      <c r="A4" s="497"/>
      <c r="B4" s="497"/>
      <c r="C4" s="497"/>
      <c r="D4" s="497"/>
      <c r="E4" s="497"/>
      <c r="F4" s="497"/>
      <c r="G4" s="497"/>
      <c r="H4" s="578"/>
      <c r="I4" s="505"/>
      <c r="J4" s="505"/>
      <c r="K4" s="497"/>
      <c r="L4" s="497"/>
      <c r="M4" s="497"/>
      <c r="N4" s="497"/>
      <c r="O4" s="150"/>
      <c r="P4" s="150"/>
      <c r="Q4" s="150"/>
      <c r="R4" s="150"/>
    </row>
    <row r="5" spans="1:18" s="150" customFormat="1" ht="12">
      <c r="A5" s="152">
        <v>36</v>
      </c>
      <c r="B5" s="152" t="s">
        <v>1166</v>
      </c>
      <c r="G5" s="151"/>
      <c r="H5" s="152"/>
      <c r="I5" s="152"/>
      <c r="J5" s="152"/>
    </row>
    <row r="6" spans="1:18" s="150" customFormat="1" ht="12">
      <c r="G6" s="151"/>
      <c r="H6" s="152"/>
      <c r="I6" s="152"/>
      <c r="J6" s="152"/>
    </row>
    <row r="7" spans="1:18" s="150" customFormat="1" ht="12">
      <c r="B7" s="580" t="s">
        <v>980</v>
      </c>
      <c r="G7" s="151"/>
      <c r="H7" s="152"/>
      <c r="I7" s="152"/>
      <c r="J7" s="152"/>
    </row>
    <row r="8" spans="1:18" s="150" customFormat="1" ht="12">
      <c r="B8" s="580" t="s">
        <v>981</v>
      </c>
      <c r="G8" s="151"/>
      <c r="H8" s="152"/>
      <c r="I8" s="152"/>
      <c r="J8" s="152"/>
    </row>
    <row r="9" spans="1:18" s="150" customFormat="1" ht="12">
      <c r="B9" s="580" t="s">
        <v>982</v>
      </c>
      <c r="G9" s="151"/>
      <c r="H9" s="152"/>
      <c r="I9" s="152"/>
      <c r="J9" s="152"/>
    </row>
    <row r="10" spans="1:18" s="150" customFormat="1" ht="12">
      <c r="B10" s="580" t="s">
        <v>983</v>
      </c>
      <c r="G10" s="151"/>
      <c r="H10" s="152"/>
      <c r="I10" s="152"/>
      <c r="J10" s="152"/>
    </row>
    <row r="11" spans="1:18" s="150" customFormat="1" ht="12">
      <c r="B11" s="150" t="s">
        <v>984</v>
      </c>
      <c r="G11" s="151"/>
      <c r="H11" s="152"/>
      <c r="I11" s="152"/>
      <c r="J11" s="152"/>
    </row>
    <row r="12" spans="1:18" s="150" customFormat="1" ht="12">
      <c r="B12" s="150" t="s">
        <v>985</v>
      </c>
      <c r="G12" s="151"/>
      <c r="H12" s="152"/>
      <c r="I12" s="152"/>
      <c r="J12" s="152"/>
    </row>
    <row r="13" spans="1:18" s="150" customFormat="1" ht="12">
      <c r="D13" s="787"/>
      <c r="G13" s="151"/>
      <c r="H13" s="152"/>
      <c r="I13" s="152"/>
      <c r="J13" s="152"/>
    </row>
    <row r="14" spans="1:18" s="150" customFormat="1" ht="12">
      <c r="C14" s="786"/>
      <c r="F14" s="844" t="s">
        <v>905</v>
      </c>
      <c r="G14" s="844"/>
      <c r="H14" s="844"/>
      <c r="I14" s="152"/>
      <c r="J14" s="845" t="s">
        <v>319</v>
      </c>
      <c r="K14" s="845"/>
      <c r="L14" s="845"/>
    </row>
    <row r="15" spans="1:18" s="150" customFormat="1" ht="12">
      <c r="C15" s="786"/>
      <c r="F15" s="534" t="s">
        <v>21</v>
      </c>
      <c r="G15" s="534"/>
      <c r="H15" s="790" t="s">
        <v>22</v>
      </c>
      <c r="I15" s="152"/>
      <c r="J15" s="534" t="s">
        <v>21</v>
      </c>
      <c r="K15" s="534"/>
      <c r="L15" s="790" t="s">
        <v>22</v>
      </c>
    </row>
    <row r="16" spans="1:18" s="150" customFormat="1" ht="12">
      <c r="B16" s="152" t="s">
        <v>1167</v>
      </c>
      <c r="F16" s="143" t="s">
        <v>23</v>
      </c>
      <c r="G16" s="158"/>
      <c r="H16" s="143" t="s">
        <v>23</v>
      </c>
      <c r="I16" s="152"/>
      <c r="J16" s="143" t="s">
        <v>23</v>
      </c>
      <c r="K16" s="158"/>
      <c r="L16" s="143" t="s">
        <v>23</v>
      </c>
    </row>
    <row r="17" spans="2:12" s="150" customFormat="1" ht="12">
      <c r="F17" s="141"/>
      <c r="G17" s="151"/>
      <c r="H17" s="141"/>
      <c r="I17" s="152"/>
      <c r="J17" s="141"/>
      <c r="K17" s="151"/>
      <c r="L17" s="141"/>
    </row>
    <row r="18" spans="2:12" s="152" customFormat="1" ht="12">
      <c r="C18" s="152" t="s">
        <v>1168</v>
      </c>
      <c r="F18" s="586">
        <v>0</v>
      </c>
      <c r="G18" s="586"/>
      <c r="H18" s="586">
        <v>0</v>
      </c>
      <c r="J18" s="586">
        <v>0</v>
      </c>
      <c r="K18" s="586"/>
      <c r="L18" s="586">
        <v>0</v>
      </c>
    </row>
    <row r="19" spans="2:12" s="150" customFormat="1" ht="12">
      <c r="G19" s="151"/>
      <c r="H19" s="152"/>
      <c r="I19" s="152"/>
      <c r="K19" s="151"/>
      <c r="L19" s="152"/>
    </row>
    <row r="20" spans="2:12" s="150" customFormat="1" ht="12">
      <c r="D20" s="150" t="s">
        <v>1171</v>
      </c>
      <c r="G20" s="151"/>
      <c r="H20" s="152"/>
      <c r="I20" s="152"/>
      <c r="K20" s="151"/>
      <c r="L20" s="152"/>
    </row>
    <row r="21" spans="2:12" s="150" customFormat="1" ht="12">
      <c r="D21" s="150" t="s">
        <v>1169</v>
      </c>
      <c r="F21" s="586">
        <v>0</v>
      </c>
      <c r="G21" s="586"/>
      <c r="H21" s="586">
        <v>0</v>
      </c>
      <c r="I21" s="152"/>
      <c r="J21" s="586">
        <v>0</v>
      </c>
      <c r="K21" s="586"/>
      <c r="L21" s="586">
        <v>0</v>
      </c>
    </row>
    <row r="22" spans="2:12" s="150" customFormat="1" ht="12">
      <c r="D22" s="150" t="s">
        <v>522</v>
      </c>
      <c r="F22" s="586">
        <v>0</v>
      </c>
      <c r="G22" s="586"/>
      <c r="H22" s="586">
        <v>0</v>
      </c>
      <c r="I22" s="152"/>
      <c r="J22" s="586">
        <v>0</v>
      </c>
      <c r="K22" s="586"/>
      <c r="L22" s="586">
        <v>0</v>
      </c>
    </row>
    <row r="23" spans="2:12" s="150" customFormat="1" ht="12">
      <c r="D23" s="150" t="s">
        <v>1170</v>
      </c>
      <c r="F23" s="586">
        <v>0</v>
      </c>
      <c r="G23" s="586"/>
      <c r="H23" s="586">
        <v>0</v>
      </c>
      <c r="I23" s="152"/>
      <c r="J23" s="586">
        <v>0</v>
      </c>
      <c r="K23" s="586"/>
      <c r="L23" s="586">
        <v>0</v>
      </c>
    </row>
    <row r="24" spans="2:12" s="150" customFormat="1" ht="12">
      <c r="D24" s="150" t="s">
        <v>1173</v>
      </c>
      <c r="F24" s="586">
        <v>0</v>
      </c>
      <c r="G24" s="586"/>
      <c r="H24" s="586">
        <v>0</v>
      </c>
      <c r="I24" s="152"/>
      <c r="J24" s="586">
        <v>0</v>
      </c>
      <c r="K24" s="586"/>
      <c r="L24" s="586">
        <v>0</v>
      </c>
    </row>
    <row r="25" spans="2:12" s="152" customFormat="1" ht="12">
      <c r="C25" s="152" t="s">
        <v>1175</v>
      </c>
      <c r="F25" s="785">
        <f>SUM(F21:F24)</f>
        <v>0</v>
      </c>
      <c r="G25" s="784"/>
      <c r="H25" s="785">
        <f>SUM(H21:H24)</f>
        <v>0</v>
      </c>
      <c r="J25" s="785">
        <f>SUM(J21:J24)</f>
        <v>0</v>
      </c>
      <c r="K25" s="784"/>
      <c r="L25" s="785">
        <f>SUM(L21:L24)</f>
        <v>0</v>
      </c>
    </row>
    <row r="26" spans="2:12" s="150" customFormat="1" ht="12">
      <c r="G26" s="151"/>
      <c r="H26" s="152"/>
      <c r="I26" s="152"/>
      <c r="K26" s="151"/>
      <c r="L26" s="152"/>
    </row>
    <row r="27" spans="2:12" s="152" customFormat="1" thickBot="1">
      <c r="C27" s="152" t="s">
        <v>1174</v>
      </c>
      <c r="F27" s="791">
        <f>F18+F25</f>
        <v>0</v>
      </c>
      <c r="G27" s="158"/>
      <c r="H27" s="791">
        <f>H18+H25</f>
        <v>0</v>
      </c>
      <c r="J27" s="791">
        <f>J18+J25</f>
        <v>0</v>
      </c>
      <c r="K27" s="158"/>
      <c r="L27" s="791">
        <f>L18+L25</f>
        <v>0</v>
      </c>
    </row>
    <row r="28" spans="2:12" s="150" customFormat="1" thickTop="1">
      <c r="G28" s="151"/>
      <c r="H28" s="152"/>
      <c r="I28" s="152"/>
      <c r="J28" s="152"/>
    </row>
    <row r="29" spans="2:12" s="150" customFormat="1" ht="12">
      <c r="F29" s="846" t="s">
        <v>19</v>
      </c>
      <c r="G29" s="846"/>
      <c r="H29" s="846"/>
      <c r="I29" s="152"/>
      <c r="J29" s="152"/>
    </row>
    <row r="30" spans="2:12" s="150" customFormat="1" ht="12">
      <c r="F30" s="534" t="s">
        <v>21</v>
      </c>
      <c r="G30" s="534"/>
      <c r="H30" s="790" t="s">
        <v>22</v>
      </c>
      <c r="I30" s="152"/>
      <c r="J30" s="152"/>
    </row>
    <row r="31" spans="2:12" s="150" customFormat="1" ht="12">
      <c r="B31" s="152" t="s">
        <v>1176</v>
      </c>
      <c r="F31" s="143" t="s">
        <v>23</v>
      </c>
      <c r="G31" s="158"/>
      <c r="H31" s="143" t="s">
        <v>23</v>
      </c>
      <c r="I31" s="152"/>
      <c r="J31" s="152"/>
    </row>
    <row r="32" spans="2:12" s="150" customFormat="1" ht="12">
      <c r="G32" s="151"/>
      <c r="H32" s="152"/>
      <c r="I32" s="152"/>
      <c r="J32" s="152"/>
    </row>
    <row r="33" spans="2:10" s="150" customFormat="1" ht="12">
      <c r="C33" s="152" t="s">
        <v>1177</v>
      </c>
      <c r="F33" s="605">
        <v>0</v>
      </c>
      <c r="G33" s="151"/>
      <c r="H33" s="605">
        <v>0</v>
      </c>
      <c r="I33" s="152"/>
      <c r="J33" s="152"/>
    </row>
    <row r="34" spans="2:10" s="150" customFormat="1" ht="12">
      <c r="F34" s="586"/>
      <c r="G34" s="151"/>
      <c r="H34" s="586"/>
      <c r="I34" s="152"/>
      <c r="J34" s="152"/>
    </row>
    <row r="35" spans="2:10" s="150" customFormat="1" ht="12">
      <c r="D35" s="150" t="s">
        <v>1171</v>
      </c>
      <c r="F35" s="586"/>
      <c r="G35" s="151"/>
      <c r="H35" s="586"/>
      <c r="I35" s="152"/>
      <c r="J35" s="152"/>
    </row>
    <row r="36" spans="2:10" s="150" customFormat="1" ht="12">
      <c r="D36" s="150" t="s">
        <v>1169</v>
      </c>
      <c r="F36" s="586">
        <v>0</v>
      </c>
      <c r="G36" s="151"/>
      <c r="H36" s="586">
        <v>0</v>
      </c>
      <c r="I36" s="152"/>
      <c r="J36" s="152"/>
    </row>
    <row r="37" spans="2:10" s="150" customFormat="1" ht="12">
      <c r="D37" s="150" t="s">
        <v>522</v>
      </c>
      <c r="F37" s="586">
        <v>0</v>
      </c>
      <c r="G37" s="151"/>
      <c r="H37" s="586">
        <v>0</v>
      </c>
      <c r="I37" s="152"/>
      <c r="J37" s="152"/>
    </row>
    <row r="38" spans="2:10" s="150" customFormat="1" ht="12">
      <c r="D38" s="150" t="s">
        <v>1170</v>
      </c>
      <c r="F38" s="586">
        <v>0</v>
      </c>
      <c r="G38" s="151"/>
      <c r="H38" s="586">
        <v>0</v>
      </c>
      <c r="I38" s="152"/>
      <c r="J38" s="152"/>
    </row>
    <row r="39" spans="2:10" s="150" customFormat="1" ht="12">
      <c r="D39" s="150" t="s">
        <v>1184</v>
      </c>
      <c r="F39" s="586"/>
      <c r="G39" s="151"/>
      <c r="H39" s="586"/>
      <c r="I39" s="152"/>
      <c r="J39" s="152"/>
    </row>
    <row r="40" spans="2:10" s="150" customFormat="1" ht="12">
      <c r="D40" s="150" t="s">
        <v>1172</v>
      </c>
      <c r="F40" s="586">
        <v>0</v>
      </c>
      <c r="G40" s="151"/>
      <c r="H40" s="586">
        <v>0</v>
      </c>
      <c r="I40" s="152"/>
      <c r="J40" s="152"/>
    </row>
    <row r="41" spans="2:10" s="150" customFormat="1" ht="12">
      <c r="D41" s="150" t="s">
        <v>1179</v>
      </c>
      <c r="F41" s="586"/>
      <c r="G41" s="151"/>
      <c r="H41" s="586"/>
      <c r="I41" s="152"/>
      <c r="J41" s="152"/>
    </row>
    <row r="42" spans="2:10" s="150" customFormat="1" ht="12">
      <c r="D42" s="150" t="s">
        <v>1178</v>
      </c>
      <c r="F42" s="586"/>
      <c r="G42" s="151"/>
      <c r="H42" s="586"/>
      <c r="I42" s="152"/>
      <c r="J42" s="152"/>
    </row>
    <row r="43" spans="2:10" s="150" customFormat="1" ht="12">
      <c r="C43" s="152" t="s">
        <v>1175</v>
      </c>
      <c r="F43" s="789">
        <f>SUM(F36:F40)</f>
        <v>0</v>
      </c>
      <c r="G43" s="151"/>
      <c r="H43" s="789">
        <f>SUM(H36:H40)</f>
        <v>0</v>
      </c>
      <c r="I43" s="152"/>
      <c r="J43" s="152"/>
    </row>
    <row r="44" spans="2:10" s="150" customFormat="1" ht="12">
      <c r="F44" s="586"/>
      <c r="G44" s="151"/>
      <c r="H44" s="586"/>
      <c r="I44" s="152"/>
      <c r="J44" s="152"/>
    </row>
    <row r="45" spans="2:10" s="150" customFormat="1" thickBot="1">
      <c r="C45" s="152" t="s">
        <v>1181</v>
      </c>
      <c r="F45" s="791">
        <f>F33+F43</f>
        <v>0</v>
      </c>
      <c r="G45" s="158"/>
      <c r="H45" s="791">
        <f>H33+H43</f>
        <v>0</v>
      </c>
      <c r="I45" s="152"/>
      <c r="J45" s="152"/>
    </row>
    <row r="46" spans="2:10" s="150" customFormat="1" thickTop="1">
      <c r="F46" s="586"/>
      <c r="G46" s="151"/>
      <c r="H46" s="152"/>
      <c r="I46" s="152"/>
      <c r="J46" s="152"/>
    </row>
    <row r="47" spans="2:10" s="150" customFormat="1" ht="12">
      <c r="G47" s="151"/>
      <c r="H47" s="152"/>
      <c r="I47" s="152"/>
      <c r="J47" s="152"/>
    </row>
    <row r="48" spans="2:10" s="150" customFormat="1" ht="12">
      <c r="B48" s="152" t="s">
        <v>1180</v>
      </c>
      <c r="D48" s="151"/>
      <c r="G48" s="151"/>
      <c r="H48" s="152"/>
      <c r="I48" s="152"/>
      <c r="J48" s="152"/>
    </row>
    <row r="49" spans="1:18" s="150" customFormat="1" ht="12">
      <c r="D49" s="151"/>
      <c r="G49" s="151"/>
      <c r="H49" s="152"/>
      <c r="I49" s="152"/>
      <c r="J49" s="152"/>
    </row>
    <row r="50" spans="1:18" s="150" customFormat="1" ht="12">
      <c r="B50" s="150" t="s">
        <v>1183</v>
      </c>
      <c r="D50" s="151"/>
      <c r="G50" s="151"/>
      <c r="H50" s="152"/>
      <c r="I50" s="152"/>
      <c r="J50" s="152"/>
    </row>
    <row r="51" spans="1:18" s="150" customFormat="1" ht="12">
      <c r="G51" s="151"/>
      <c r="H51" s="152"/>
      <c r="I51" s="152"/>
      <c r="J51" s="152"/>
    </row>
    <row r="52" spans="1:18" s="150" customFormat="1" ht="12">
      <c r="A52" s="150" t="s">
        <v>1182</v>
      </c>
      <c r="G52" s="151"/>
      <c r="H52" s="152"/>
      <c r="I52" s="152"/>
      <c r="J52" s="152"/>
    </row>
    <row r="53" spans="1:18" s="150" customFormat="1" ht="12">
      <c r="G53" s="151"/>
      <c r="H53" s="152"/>
      <c r="I53" s="152"/>
      <c r="J53" s="152"/>
    </row>
    <row r="54" spans="1:18" s="150" customFormat="1" ht="12">
      <c r="G54" s="151"/>
      <c r="H54" s="152"/>
      <c r="I54" s="152"/>
      <c r="J54" s="152"/>
    </row>
    <row r="55" spans="1:18" s="150" customFormat="1" ht="12">
      <c r="G55" s="151"/>
      <c r="H55" s="152"/>
      <c r="I55" s="152"/>
      <c r="J55" s="152"/>
    </row>
    <row r="56" spans="1:18" s="150" customFormat="1" ht="12">
      <c r="G56" s="151"/>
      <c r="H56" s="152"/>
      <c r="I56" s="152"/>
      <c r="J56" s="152"/>
    </row>
    <row r="57" spans="1:18" s="150" customFormat="1" ht="12">
      <c r="C57" s="543"/>
      <c r="G57" s="151"/>
      <c r="H57" s="152"/>
      <c r="I57" s="152"/>
      <c r="J57" s="152"/>
    </row>
    <row r="58" spans="1:18">
      <c r="A58" s="782"/>
      <c r="B58" s="782"/>
      <c r="C58" s="150"/>
      <c r="D58" s="150"/>
      <c r="E58" s="150"/>
      <c r="F58" s="843" t="s">
        <v>362</v>
      </c>
      <c r="G58" s="843"/>
      <c r="H58" s="843"/>
      <c r="I58" s="152"/>
      <c r="J58" s="152"/>
      <c r="K58" s="150"/>
      <c r="L58" s="150"/>
      <c r="M58" s="150"/>
      <c r="N58" s="150"/>
      <c r="O58" s="150"/>
      <c r="P58" s="150"/>
      <c r="Q58" s="150"/>
      <c r="R58" s="150"/>
    </row>
    <row r="59" spans="1:18">
      <c r="A59" s="782"/>
      <c r="B59" s="782"/>
      <c r="C59" s="150"/>
      <c r="D59" s="150"/>
      <c r="E59" s="150"/>
      <c r="F59" s="152"/>
      <c r="G59" s="150"/>
      <c r="H59" s="150"/>
      <c r="I59" s="152"/>
      <c r="J59" s="152"/>
      <c r="K59" s="150"/>
      <c r="L59" s="150"/>
      <c r="M59" s="150"/>
      <c r="N59" s="150"/>
      <c r="O59" s="150"/>
      <c r="P59" s="150"/>
      <c r="Q59" s="150"/>
      <c r="R59" s="150"/>
    </row>
    <row r="60" spans="1:18">
      <c r="A60" s="782"/>
      <c r="B60" s="782"/>
      <c r="C60" s="150"/>
      <c r="D60" s="150"/>
      <c r="E60" s="150"/>
      <c r="F60" s="152"/>
      <c r="G60" s="150"/>
      <c r="H60" s="150"/>
      <c r="I60" s="152"/>
      <c r="J60" s="152"/>
      <c r="K60" s="150"/>
      <c r="L60" s="150"/>
      <c r="M60" s="150"/>
      <c r="N60" s="150"/>
      <c r="O60" s="150"/>
      <c r="P60" s="150"/>
      <c r="Q60" s="150"/>
      <c r="R60" s="150"/>
    </row>
    <row r="61" spans="1:18">
      <c r="A61" s="782"/>
      <c r="B61" s="782"/>
      <c r="C61" s="150"/>
      <c r="D61" s="150"/>
      <c r="E61" s="150"/>
      <c r="F61" s="152"/>
      <c r="G61" s="150"/>
      <c r="H61" s="150"/>
      <c r="I61" s="152"/>
      <c r="J61" s="152"/>
      <c r="K61" s="150"/>
      <c r="L61" s="150"/>
      <c r="M61" s="150"/>
      <c r="N61" s="150"/>
      <c r="O61" s="150"/>
      <c r="P61" s="150"/>
      <c r="Q61" s="150"/>
      <c r="R61" s="150"/>
    </row>
    <row r="62" spans="1:18">
      <c r="A62" s="782"/>
      <c r="B62" s="782"/>
      <c r="C62" s="150"/>
      <c r="D62" s="150"/>
      <c r="E62" s="150"/>
      <c r="F62" s="152"/>
      <c r="G62" s="150"/>
      <c r="H62" s="150"/>
      <c r="I62" s="152"/>
      <c r="J62" s="152"/>
      <c r="K62" s="150"/>
      <c r="L62" s="150"/>
      <c r="M62" s="150"/>
      <c r="N62" s="150"/>
      <c r="O62" s="150"/>
      <c r="P62" s="150"/>
      <c r="Q62" s="150"/>
      <c r="R62" s="150"/>
    </row>
    <row r="63" spans="1:18">
      <c r="A63" s="782"/>
      <c r="B63" s="782"/>
      <c r="C63" s="150"/>
      <c r="D63" s="150"/>
      <c r="E63" s="150"/>
      <c r="F63" s="152"/>
      <c r="G63" s="150"/>
      <c r="H63" s="150"/>
      <c r="I63" s="152"/>
      <c r="J63" s="152"/>
      <c r="K63" s="150"/>
      <c r="L63" s="150"/>
      <c r="M63" s="150"/>
      <c r="N63" s="150"/>
      <c r="O63" s="150"/>
      <c r="P63" s="150"/>
      <c r="Q63" s="150"/>
      <c r="R63" s="150"/>
    </row>
    <row r="64" spans="1:18">
      <c r="A64" s="782"/>
      <c r="B64" s="782"/>
      <c r="C64" s="150"/>
      <c r="D64" s="150"/>
      <c r="E64" s="150"/>
      <c r="F64" s="152"/>
      <c r="G64" s="150"/>
      <c r="H64" s="150"/>
      <c r="I64" s="152"/>
      <c r="J64" s="152"/>
      <c r="K64" s="150"/>
      <c r="L64" s="150"/>
      <c r="M64" s="150"/>
      <c r="N64" s="150"/>
      <c r="O64" s="150"/>
      <c r="P64" s="150"/>
      <c r="Q64" s="150"/>
      <c r="R64" s="150"/>
    </row>
    <row r="65" spans="1:18">
      <c r="A65" s="782"/>
      <c r="B65" s="782"/>
      <c r="C65" s="150"/>
      <c r="D65" s="150"/>
      <c r="E65" s="150"/>
      <c r="F65" s="152"/>
      <c r="G65" s="150"/>
      <c r="H65" s="150"/>
      <c r="I65" s="152"/>
      <c r="J65" s="152"/>
      <c r="K65" s="150"/>
      <c r="L65" s="150"/>
      <c r="M65" s="150"/>
      <c r="N65" s="150"/>
      <c r="O65" s="150"/>
      <c r="P65" s="150"/>
      <c r="Q65" s="150"/>
      <c r="R65" s="150"/>
    </row>
    <row r="66" spans="1:18">
      <c r="F66" s="595"/>
      <c r="H66" s="495"/>
    </row>
    <row r="67" spans="1:18">
      <c r="F67" s="595"/>
      <c r="H67" s="495"/>
    </row>
    <row r="68" spans="1:18">
      <c r="F68" s="595"/>
      <c r="H68" s="495"/>
    </row>
    <row r="69" spans="1:18">
      <c r="F69" s="595"/>
      <c r="H69" s="495"/>
    </row>
    <row r="70" spans="1:18">
      <c r="F70" s="595"/>
      <c r="H70" s="495"/>
    </row>
  </sheetData>
  <mergeCells count="4">
    <mergeCell ref="F58:H58"/>
    <mergeCell ref="F14:H14"/>
    <mergeCell ref="J14:L14"/>
    <mergeCell ref="F29:H29"/>
  </mergeCells>
  <pageMargins left="0.70866141732283472" right="0.70866141732283472" top="0.74803149606299213" bottom="0.74803149606299213" header="0.31496062992125984" footer="0.31496062992125984"/>
  <pageSetup paperSize="9" scale="65" orientation="portrait" r:id="rId1"/>
  <headerFooter>
    <oddFooter>&amp;C&amp;P of &amp;N</oddFooter>
  </headerFooter>
  <rowBreaks count="1" manualBreakCount="1">
    <brk id="63" max="16383" man="1"/>
  </rowBreaks>
  <colBreaks count="1" manualBreakCount="1">
    <brk id="5"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view="pageBreakPreview" zoomScaleNormal="100" zoomScaleSheetLayoutView="100" zoomScalePageLayoutView="70" workbookViewId="0">
      <selection activeCell="H23" sqref="H23"/>
    </sheetView>
  </sheetViews>
  <sheetFormatPr defaultColWidth="11.42578125" defaultRowHeight="12.75"/>
  <cols>
    <col min="1" max="1" width="2.7109375" style="594" customWidth="1"/>
    <col min="2" max="2" width="2.140625" style="495" customWidth="1"/>
    <col min="3" max="3" width="42.5703125" style="495" customWidth="1"/>
    <col min="4" max="4" width="5.7109375" style="495" bestFit="1" customWidth="1"/>
    <col min="5" max="5" width="1.7109375" style="495" customWidth="1"/>
    <col min="6" max="6" width="10.7109375" style="495" customWidth="1"/>
    <col min="7" max="7" width="1.7109375" style="495" customWidth="1"/>
    <col min="8" max="8" width="10.7109375" style="495" customWidth="1"/>
    <col min="9" max="9" width="1.7109375" style="495" customWidth="1"/>
    <col min="10" max="10" width="10.7109375" style="596" customWidth="1"/>
    <col min="11" max="11" width="5.42578125" style="595" customWidth="1"/>
    <col min="12" max="12" width="10.7109375" style="595" customWidth="1"/>
    <col min="13" max="13" width="1.7109375" style="495" customWidth="1"/>
    <col min="14" max="14" width="10.7109375" style="495" customWidth="1"/>
    <col min="15" max="15" width="1.7109375" style="495" customWidth="1"/>
    <col min="16" max="16" width="10.7109375" style="495" customWidth="1"/>
    <col min="17" max="17" width="8.28515625" style="495" customWidth="1"/>
    <col min="18" max="18" width="4" style="495" customWidth="1"/>
    <col min="19" max="16384" width="11.42578125" style="495"/>
  </cols>
  <sheetData>
    <row r="1" spans="1:20" s="146" customFormat="1" ht="23.25">
      <c r="A1" s="146" t="s">
        <v>298</v>
      </c>
    </row>
    <row r="2" spans="1:20" s="147" customFormat="1" ht="18">
      <c r="A2" s="147" t="s">
        <v>129</v>
      </c>
    </row>
    <row r="3" spans="1:20" s="496" customFormat="1" ht="18.75" thickBot="1">
      <c r="A3" s="573"/>
      <c r="B3" s="574"/>
      <c r="C3" s="574"/>
      <c r="D3" s="574"/>
      <c r="E3" s="574"/>
      <c r="F3" s="574"/>
      <c r="G3" s="574"/>
      <c r="H3" s="574"/>
      <c r="I3" s="574"/>
      <c r="J3" s="575"/>
      <c r="K3" s="576"/>
      <c r="L3" s="576"/>
      <c r="M3" s="574"/>
      <c r="N3" s="574"/>
      <c r="O3" s="574"/>
      <c r="P3" s="574"/>
      <c r="Q3" s="577"/>
    </row>
    <row r="4" spans="1:20" s="496" customFormat="1" ht="12">
      <c r="A4" s="497"/>
      <c r="B4" s="497"/>
      <c r="C4" s="497"/>
      <c r="D4" s="497"/>
      <c r="E4" s="497"/>
      <c r="F4" s="497"/>
      <c r="G4" s="497"/>
      <c r="H4" s="497"/>
      <c r="I4" s="497"/>
      <c r="J4" s="578"/>
      <c r="K4" s="505"/>
      <c r="L4" s="505"/>
      <c r="M4" s="497"/>
      <c r="N4" s="497"/>
      <c r="O4" s="497"/>
      <c r="P4" s="497"/>
      <c r="Q4" s="150"/>
      <c r="R4" s="150"/>
      <c r="S4" s="150"/>
      <c r="T4" s="150"/>
    </row>
    <row r="5" spans="1:20" s="150" customFormat="1" ht="12">
      <c r="A5" s="152">
        <v>36</v>
      </c>
      <c r="B5" s="152" t="s">
        <v>1166</v>
      </c>
      <c r="G5" s="579"/>
      <c r="H5" s="151"/>
      <c r="I5" s="579"/>
      <c r="J5" s="152"/>
      <c r="K5" s="152"/>
      <c r="L5" s="152"/>
    </row>
    <row r="6" spans="1:20" s="150" customFormat="1" ht="12">
      <c r="G6" s="579"/>
      <c r="H6" s="151"/>
      <c r="I6" s="579"/>
      <c r="J6" s="152"/>
      <c r="K6" s="152"/>
      <c r="L6" s="152"/>
    </row>
    <row r="7" spans="1:20" s="150" customFormat="1" ht="12">
      <c r="B7" s="580" t="s">
        <v>980</v>
      </c>
      <c r="G7" s="579"/>
      <c r="H7" s="151"/>
      <c r="I7" s="579"/>
      <c r="J7" s="152"/>
      <c r="K7" s="152"/>
      <c r="L7" s="152"/>
    </row>
    <row r="8" spans="1:20" s="150" customFormat="1" ht="12">
      <c r="B8" s="580" t="s">
        <v>981</v>
      </c>
      <c r="G8" s="579"/>
      <c r="H8" s="151"/>
      <c r="I8" s="579"/>
      <c r="J8" s="152"/>
      <c r="K8" s="152"/>
      <c r="L8" s="152"/>
    </row>
    <row r="9" spans="1:20" s="150" customFormat="1" ht="12">
      <c r="B9" s="580" t="s">
        <v>982</v>
      </c>
      <c r="G9" s="579"/>
      <c r="H9" s="151"/>
      <c r="I9" s="579"/>
      <c r="J9" s="152"/>
      <c r="K9" s="152"/>
      <c r="L9" s="152"/>
    </row>
    <row r="10" spans="1:20" s="150" customFormat="1" ht="12">
      <c r="B10" s="580" t="s">
        <v>983</v>
      </c>
      <c r="G10" s="579"/>
      <c r="H10" s="151"/>
      <c r="I10" s="579"/>
      <c r="J10" s="152"/>
      <c r="K10" s="152"/>
      <c r="L10" s="152"/>
    </row>
    <row r="11" spans="1:20" s="150" customFormat="1" ht="12">
      <c r="B11" s="150" t="s">
        <v>984</v>
      </c>
      <c r="G11" s="579"/>
      <c r="H11" s="151"/>
      <c r="I11" s="579"/>
      <c r="J11" s="152"/>
      <c r="K11" s="152"/>
      <c r="L11" s="152"/>
    </row>
    <row r="12" spans="1:20" s="150" customFormat="1" ht="12">
      <c r="B12" s="150" t="s">
        <v>985</v>
      </c>
      <c r="G12" s="579"/>
      <c r="H12" s="151"/>
      <c r="I12" s="579"/>
      <c r="J12" s="152"/>
      <c r="K12" s="152"/>
      <c r="L12" s="152"/>
    </row>
    <row r="13" spans="1:20" s="150" customFormat="1" ht="12">
      <c r="G13" s="579"/>
      <c r="H13" s="151"/>
      <c r="I13" s="579"/>
      <c r="J13" s="152"/>
      <c r="K13" s="152"/>
      <c r="L13" s="152"/>
    </row>
    <row r="14" spans="1:20" s="150" customFormat="1" ht="12">
      <c r="B14" s="543"/>
      <c r="G14" s="579"/>
      <c r="H14" s="151"/>
      <c r="I14" s="579"/>
      <c r="J14" s="152"/>
      <c r="K14" s="152"/>
      <c r="L14" s="152"/>
    </row>
    <row r="15" spans="1:20" s="150" customFormat="1" ht="12">
      <c r="B15" s="150" t="s">
        <v>362</v>
      </c>
      <c r="F15" s="843" t="s">
        <v>905</v>
      </c>
      <c r="G15" s="843"/>
      <c r="H15" s="843"/>
      <c r="I15" s="843"/>
      <c r="J15" s="843"/>
      <c r="K15" s="152"/>
      <c r="L15" s="843" t="s">
        <v>319</v>
      </c>
      <c r="M15" s="843"/>
      <c r="N15" s="843"/>
      <c r="O15" s="843"/>
      <c r="P15" s="843"/>
    </row>
    <row r="16" spans="1:20" ht="36">
      <c r="A16" s="561"/>
      <c r="B16" s="154"/>
      <c r="C16" s="154"/>
      <c r="D16" s="154" t="s">
        <v>20</v>
      </c>
      <c r="E16" s="150"/>
      <c r="F16" s="581" t="s">
        <v>906</v>
      </c>
      <c r="G16" s="582"/>
      <c r="H16" s="583" t="s">
        <v>1186</v>
      </c>
      <c r="I16" s="581"/>
      <c r="J16" s="581" t="s">
        <v>1187</v>
      </c>
      <c r="K16" s="150"/>
      <c r="L16" s="581" t="s">
        <v>906</v>
      </c>
      <c r="M16" s="582"/>
      <c r="N16" s="583" t="s">
        <v>1186</v>
      </c>
      <c r="O16" s="581"/>
      <c r="P16" s="581" t="s">
        <v>1187</v>
      </c>
      <c r="Q16" s="150"/>
      <c r="R16" s="150"/>
      <c r="S16" s="150"/>
      <c r="T16" s="150"/>
    </row>
    <row r="17" spans="1:20">
      <c r="A17" s="561"/>
      <c r="B17" s="141"/>
      <c r="C17" s="141"/>
      <c r="D17" s="141"/>
      <c r="E17" s="141"/>
      <c r="F17" s="141" t="s">
        <v>23</v>
      </c>
      <c r="G17" s="150"/>
      <c r="H17" s="142" t="s">
        <v>23</v>
      </c>
      <c r="I17" s="150"/>
      <c r="J17" s="142" t="s">
        <v>23</v>
      </c>
      <c r="K17" s="150"/>
      <c r="L17" s="141" t="s">
        <v>23</v>
      </c>
      <c r="M17" s="150"/>
      <c r="N17" s="142" t="s">
        <v>23</v>
      </c>
      <c r="O17" s="150"/>
      <c r="P17" s="142" t="s">
        <v>23</v>
      </c>
      <c r="Q17" s="150"/>
      <c r="R17" s="150"/>
      <c r="S17" s="150"/>
      <c r="T17" s="150"/>
    </row>
    <row r="18" spans="1:20">
      <c r="A18" s="561"/>
      <c r="B18" s="138" t="s">
        <v>69</v>
      </c>
      <c r="C18" s="141"/>
      <c r="D18" s="141"/>
      <c r="E18" s="141"/>
      <c r="F18" s="584"/>
      <c r="G18" s="143"/>
      <c r="H18" s="154"/>
      <c r="I18" s="585"/>
      <c r="J18" s="142"/>
      <c r="K18" s="150"/>
      <c r="L18" s="141"/>
      <c r="M18" s="143"/>
      <c r="N18" s="154"/>
      <c r="O18" s="585"/>
      <c r="P18" s="142"/>
      <c r="Q18" s="150"/>
      <c r="R18" s="150"/>
      <c r="S18" s="150"/>
      <c r="T18" s="150"/>
    </row>
    <row r="19" spans="1:20">
      <c r="A19" s="561"/>
      <c r="B19" s="154" t="s">
        <v>70</v>
      </c>
      <c r="C19" s="154"/>
      <c r="D19" s="154"/>
      <c r="E19" s="141"/>
      <c r="F19" s="586">
        <v>0</v>
      </c>
      <c r="G19" s="586"/>
      <c r="H19" s="586">
        <v>0</v>
      </c>
      <c r="I19" s="586"/>
      <c r="J19" s="586">
        <f>SUM(F19:H19)</f>
        <v>0</v>
      </c>
      <c r="K19" s="586"/>
      <c r="L19" s="586">
        <v>0</v>
      </c>
      <c r="M19" s="586"/>
      <c r="N19" s="586">
        <v>0</v>
      </c>
      <c r="O19" s="586"/>
      <c r="P19" s="586">
        <f>SUM(L19:N19)</f>
        <v>0</v>
      </c>
      <c r="Q19" s="150"/>
      <c r="R19" s="150"/>
      <c r="S19" s="150"/>
      <c r="T19" s="150"/>
    </row>
    <row r="20" spans="1:20">
      <c r="A20" s="561"/>
      <c r="B20" s="154" t="s">
        <v>907</v>
      </c>
      <c r="C20" s="138"/>
      <c r="D20" s="154"/>
      <c r="E20" s="141"/>
      <c r="F20" s="586">
        <v>0</v>
      </c>
      <c r="G20" s="586"/>
      <c r="H20" s="586">
        <v>0</v>
      </c>
      <c r="I20" s="586"/>
      <c r="J20" s="586">
        <f t="shared" ref="J20:J25" si="0">SUM(F20:H20)</f>
        <v>0</v>
      </c>
      <c r="K20" s="586"/>
      <c r="L20" s="586">
        <v>0</v>
      </c>
      <c r="M20" s="586"/>
      <c r="N20" s="586">
        <v>0</v>
      </c>
      <c r="O20" s="586"/>
      <c r="P20" s="586">
        <f t="shared" ref="P20:P25" si="1">SUM(L20:N20)</f>
        <v>0</v>
      </c>
      <c r="Q20" s="150"/>
      <c r="R20" s="150"/>
      <c r="S20" s="150"/>
      <c r="T20" s="150"/>
    </row>
    <row r="21" spans="1:20">
      <c r="A21" s="561"/>
      <c r="B21" s="154" t="s">
        <v>393</v>
      </c>
      <c r="C21" s="138"/>
      <c r="D21" s="154"/>
      <c r="E21" s="141"/>
      <c r="F21" s="586">
        <v>0</v>
      </c>
      <c r="G21" s="586"/>
      <c r="H21" s="586">
        <v>0</v>
      </c>
      <c r="I21" s="586"/>
      <c r="J21" s="586">
        <f t="shared" si="0"/>
        <v>0</v>
      </c>
      <c r="K21" s="586"/>
      <c r="L21" s="586">
        <v>0</v>
      </c>
      <c r="M21" s="586"/>
      <c r="N21" s="586">
        <v>0</v>
      </c>
      <c r="O21" s="586"/>
      <c r="P21" s="586">
        <f t="shared" si="1"/>
        <v>0</v>
      </c>
      <c r="Q21" s="150"/>
      <c r="R21" s="150"/>
      <c r="S21" s="150"/>
      <c r="T21" s="150"/>
    </row>
    <row r="22" spans="1:20">
      <c r="A22" s="561"/>
      <c r="B22" s="154" t="s">
        <v>73</v>
      </c>
      <c r="C22" s="138"/>
      <c r="D22" s="154"/>
      <c r="E22" s="141"/>
      <c r="F22" s="586">
        <v>0</v>
      </c>
      <c r="G22" s="586"/>
      <c r="H22" s="586">
        <v>0</v>
      </c>
      <c r="I22" s="586"/>
      <c r="J22" s="586">
        <f t="shared" si="0"/>
        <v>0</v>
      </c>
      <c r="K22" s="586"/>
      <c r="L22" s="586">
        <v>0</v>
      </c>
      <c r="M22" s="586"/>
      <c r="N22" s="586">
        <v>0</v>
      </c>
      <c r="O22" s="586"/>
      <c r="P22" s="586">
        <f t="shared" si="1"/>
        <v>0</v>
      </c>
      <c r="Q22" s="150"/>
      <c r="R22" s="150"/>
      <c r="S22" s="150"/>
      <c r="T22" s="150"/>
    </row>
    <row r="23" spans="1:20">
      <c r="A23" s="561"/>
      <c r="B23" s="154" t="s">
        <v>74</v>
      </c>
      <c r="C23" s="138"/>
      <c r="D23" s="154"/>
      <c r="E23" s="141"/>
      <c r="F23" s="586">
        <v>0</v>
      </c>
      <c r="G23" s="586"/>
      <c r="H23" s="586">
        <v>0</v>
      </c>
      <c r="I23" s="586"/>
      <c r="J23" s="586">
        <f t="shared" si="0"/>
        <v>0</v>
      </c>
      <c r="K23" s="586"/>
      <c r="L23" s="586">
        <v>0</v>
      </c>
      <c r="M23" s="586"/>
      <c r="N23" s="586">
        <v>0</v>
      </c>
      <c r="O23" s="586"/>
      <c r="P23" s="586">
        <f t="shared" si="1"/>
        <v>0</v>
      </c>
      <c r="Q23" s="150"/>
      <c r="R23" s="150"/>
      <c r="S23" s="150"/>
      <c r="T23" s="150"/>
    </row>
    <row r="24" spans="1:20">
      <c r="A24" s="561"/>
      <c r="B24" s="154" t="s">
        <v>75</v>
      </c>
      <c r="C24" s="138"/>
      <c r="D24" s="154"/>
      <c r="E24" s="141"/>
      <c r="F24" s="586">
        <v>0</v>
      </c>
      <c r="G24" s="586"/>
      <c r="H24" s="586">
        <v>0</v>
      </c>
      <c r="I24" s="586"/>
      <c r="J24" s="586">
        <f t="shared" si="0"/>
        <v>0</v>
      </c>
      <c r="K24" s="586"/>
      <c r="L24" s="586">
        <v>0</v>
      </c>
      <c r="M24" s="586"/>
      <c r="N24" s="586">
        <v>0</v>
      </c>
      <c r="O24" s="586"/>
      <c r="P24" s="586">
        <f t="shared" si="1"/>
        <v>0</v>
      </c>
      <c r="Q24" s="150"/>
      <c r="R24" s="150"/>
      <c r="S24" s="150"/>
      <c r="T24" s="150"/>
    </row>
    <row r="25" spans="1:20">
      <c r="A25" s="561"/>
      <c r="B25" s="154" t="s">
        <v>76</v>
      </c>
      <c r="C25" s="154"/>
      <c r="D25" s="154"/>
      <c r="E25" s="141"/>
      <c r="F25" s="586">
        <v>0</v>
      </c>
      <c r="G25" s="586"/>
      <c r="H25" s="586">
        <v>0</v>
      </c>
      <c r="I25" s="586"/>
      <c r="J25" s="586">
        <f t="shared" si="0"/>
        <v>0</v>
      </c>
      <c r="K25" s="586"/>
      <c r="L25" s="586">
        <v>0</v>
      </c>
      <c r="M25" s="586"/>
      <c r="N25" s="586">
        <v>0</v>
      </c>
      <c r="O25" s="586"/>
      <c r="P25" s="586">
        <f t="shared" si="1"/>
        <v>0</v>
      </c>
      <c r="Q25" s="150"/>
      <c r="R25" s="150"/>
      <c r="S25" s="150"/>
      <c r="T25" s="150"/>
    </row>
    <row r="26" spans="1:20">
      <c r="A26" s="561"/>
      <c r="B26" s="154"/>
      <c r="C26" s="138"/>
      <c r="D26" s="140"/>
      <c r="E26" s="141"/>
      <c r="F26" s="707">
        <f>SUM(F19:F25)</f>
        <v>0</v>
      </c>
      <c r="G26" s="587"/>
      <c r="H26" s="707">
        <f>SUM(H19:H25)</f>
        <v>0</v>
      </c>
      <c r="I26" s="588"/>
      <c r="J26" s="707">
        <f>SUM(F26:H26)</f>
        <v>0</v>
      </c>
      <c r="K26" s="150"/>
      <c r="L26" s="707">
        <f>SUM(L19:L25)</f>
        <v>0</v>
      </c>
      <c r="M26" s="587"/>
      <c r="N26" s="707">
        <f>SUM(N19:N25)</f>
        <v>0</v>
      </c>
      <c r="O26" s="588"/>
      <c r="P26" s="707">
        <f>SUM(L26:N26)</f>
        <v>0</v>
      </c>
      <c r="Q26" s="150"/>
      <c r="R26" s="150"/>
      <c r="S26" s="150"/>
      <c r="T26" s="150"/>
    </row>
    <row r="27" spans="1:20">
      <c r="A27" s="561"/>
      <c r="B27" s="138"/>
      <c r="C27" s="138"/>
      <c r="D27" s="140"/>
      <c r="E27" s="141"/>
      <c r="F27" s="414"/>
      <c r="G27" s="414"/>
      <c r="H27" s="414"/>
      <c r="I27" s="588"/>
      <c r="J27" s="414"/>
      <c r="K27" s="150"/>
      <c r="L27" s="414"/>
      <c r="M27" s="414"/>
      <c r="N27" s="414"/>
      <c r="O27" s="588"/>
      <c r="P27" s="414"/>
      <c r="Q27" s="150"/>
      <c r="R27" s="150"/>
      <c r="S27" s="150"/>
      <c r="T27" s="150"/>
    </row>
    <row r="28" spans="1:20">
      <c r="A28" s="755"/>
      <c r="B28" s="138" t="s">
        <v>1137</v>
      </c>
      <c r="C28" s="138"/>
      <c r="D28" s="140"/>
      <c r="E28" s="141"/>
      <c r="F28" s="586">
        <v>0</v>
      </c>
      <c r="G28" s="586"/>
      <c r="H28" s="586">
        <v>0</v>
      </c>
      <c r="I28" s="586"/>
      <c r="J28" s="586">
        <v>0</v>
      </c>
      <c r="K28" s="586"/>
      <c r="L28" s="586">
        <v>0</v>
      </c>
      <c r="M28" s="586"/>
      <c r="N28" s="586">
        <v>0</v>
      </c>
      <c r="O28" s="586"/>
      <c r="P28" s="586">
        <v>0</v>
      </c>
      <c r="Q28" s="150"/>
      <c r="R28" s="150"/>
      <c r="S28" s="150"/>
      <c r="T28" s="150"/>
    </row>
    <row r="29" spans="1:20">
      <c r="A29" s="755"/>
      <c r="B29" s="138"/>
      <c r="C29" s="138"/>
      <c r="D29" s="140"/>
      <c r="E29" s="141"/>
      <c r="F29" s="758"/>
      <c r="G29" s="585"/>
      <c r="H29" s="758"/>
      <c r="I29" s="588"/>
      <c r="J29" s="758"/>
      <c r="K29" s="497"/>
      <c r="L29" s="758"/>
      <c r="M29" s="585"/>
      <c r="N29" s="758"/>
      <c r="O29" s="588"/>
      <c r="P29" s="758"/>
      <c r="Q29" s="150"/>
      <c r="R29" s="150"/>
      <c r="S29" s="150"/>
      <c r="T29" s="150"/>
    </row>
    <row r="30" spans="1:20">
      <c r="A30" s="561"/>
      <c r="B30" s="140" t="s">
        <v>77</v>
      </c>
      <c r="C30" s="138"/>
      <c r="D30" s="140"/>
      <c r="E30" s="141"/>
      <c r="F30" s="414"/>
      <c r="G30" s="414"/>
      <c r="H30" s="414"/>
      <c r="I30" s="588"/>
      <c r="J30" s="414"/>
      <c r="K30" s="150"/>
      <c r="L30" s="414"/>
      <c r="M30" s="414"/>
      <c r="N30" s="414"/>
      <c r="O30" s="588"/>
      <c r="P30" s="414"/>
      <c r="Q30" s="150"/>
      <c r="R30" s="150"/>
      <c r="S30" s="150"/>
      <c r="T30" s="150"/>
    </row>
    <row r="31" spans="1:20">
      <c r="A31" s="561"/>
      <c r="B31" s="139" t="s">
        <v>78</v>
      </c>
      <c r="C31" s="139"/>
      <c r="D31" s="154"/>
      <c r="E31" s="141"/>
      <c r="F31" s="586">
        <v>0</v>
      </c>
      <c r="G31" s="586"/>
      <c r="H31" s="586">
        <v>0</v>
      </c>
      <c r="I31" s="586"/>
      <c r="J31" s="586">
        <f t="shared" ref="J31:J34" si="2">SUM(F31:H31)</f>
        <v>0</v>
      </c>
      <c r="K31" s="586"/>
      <c r="L31" s="586">
        <v>0</v>
      </c>
      <c r="M31" s="586"/>
      <c r="N31" s="586">
        <v>0</v>
      </c>
      <c r="O31" s="586"/>
      <c r="P31" s="586">
        <f t="shared" ref="P31:P34" si="3">SUM(L31:N31)</f>
        <v>0</v>
      </c>
      <c r="Q31" s="150"/>
      <c r="R31" s="150"/>
      <c r="S31" s="150"/>
      <c r="T31" s="150"/>
    </row>
    <row r="32" spans="1:20">
      <c r="A32" s="561"/>
      <c r="B32" s="139" t="s">
        <v>79</v>
      </c>
      <c r="C32" s="139"/>
      <c r="D32" s="154"/>
      <c r="E32" s="141"/>
      <c r="F32" s="586">
        <v>0</v>
      </c>
      <c r="G32" s="586"/>
      <c r="H32" s="586">
        <v>0</v>
      </c>
      <c r="I32" s="586"/>
      <c r="J32" s="586">
        <f t="shared" si="2"/>
        <v>0</v>
      </c>
      <c r="K32" s="586"/>
      <c r="L32" s="586">
        <v>0</v>
      </c>
      <c r="M32" s="586"/>
      <c r="N32" s="586">
        <v>0</v>
      </c>
      <c r="O32" s="586"/>
      <c r="P32" s="586">
        <f t="shared" si="3"/>
        <v>0</v>
      </c>
      <c r="Q32" s="150"/>
      <c r="R32" s="150"/>
      <c r="S32" s="150"/>
      <c r="T32" s="150"/>
    </row>
    <row r="33" spans="1:20">
      <c r="A33" s="561"/>
      <c r="B33" s="139" t="s">
        <v>74</v>
      </c>
      <c r="C33" s="139"/>
      <c r="D33" s="154"/>
      <c r="E33" s="141"/>
      <c r="F33" s="586">
        <v>0</v>
      </c>
      <c r="G33" s="586"/>
      <c r="H33" s="586">
        <v>0</v>
      </c>
      <c r="I33" s="586"/>
      <c r="J33" s="586">
        <f t="shared" si="2"/>
        <v>0</v>
      </c>
      <c r="K33" s="586"/>
      <c r="L33" s="586">
        <v>0</v>
      </c>
      <c r="M33" s="586"/>
      <c r="N33" s="586">
        <v>0</v>
      </c>
      <c r="O33" s="586"/>
      <c r="P33" s="586">
        <f t="shared" si="3"/>
        <v>0</v>
      </c>
      <c r="Q33" s="150"/>
      <c r="R33" s="150"/>
      <c r="S33" s="150"/>
      <c r="T33" s="150"/>
    </row>
    <row r="34" spans="1:20">
      <c r="A34" s="561"/>
      <c r="B34" s="139" t="s">
        <v>80</v>
      </c>
      <c r="C34" s="139"/>
      <c r="D34" s="154"/>
      <c r="E34" s="141"/>
      <c r="F34" s="586">
        <v>0</v>
      </c>
      <c r="G34" s="414"/>
      <c r="H34" s="586">
        <v>0</v>
      </c>
      <c r="I34" s="588"/>
      <c r="J34" s="586">
        <f t="shared" si="2"/>
        <v>0</v>
      </c>
      <c r="K34" s="150"/>
      <c r="L34" s="586">
        <v>0</v>
      </c>
      <c r="M34" s="414"/>
      <c r="N34" s="586">
        <v>0</v>
      </c>
      <c r="O34" s="588"/>
      <c r="P34" s="586">
        <f t="shared" si="3"/>
        <v>0</v>
      </c>
      <c r="Q34" s="150"/>
      <c r="R34" s="150"/>
      <c r="S34" s="150"/>
      <c r="T34" s="150"/>
    </row>
    <row r="35" spans="1:20">
      <c r="A35" s="561"/>
      <c r="B35" s="154"/>
      <c r="C35" s="154"/>
      <c r="D35" s="139"/>
      <c r="E35" s="141"/>
      <c r="F35" s="708">
        <f>SUM(F31:F34)</f>
        <v>0</v>
      </c>
      <c r="G35" s="585"/>
      <c r="H35" s="708">
        <f>SUM(H31:H34)</f>
        <v>0</v>
      </c>
      <c r="I35" s="588"/>
      <c r="J35" s="708">
        <f>SUM(J31:J34)</f>
        <v>0</v>
      </c>
      <c r="K35" s="150"/>
      <c r="L35" s="708">
        <f>SUM(L31:L34)</f>
        <v>0</v>
      </c>
      <c r="M35" s="585"/>
      <c r="N35" s="708">
        <f>SUM(N31:N34)</f>
        <v>0</v>
      </c>
      <c r="O35" s="588"/>
      <c r="P35" s="708">
        <f>SUM(P31:P34)</f>
        <v>0</v>
      </c>
      <c r="Q35" s="150"/>
      <c r="R35" s="150"/>
      <c r="S35" s="150"/>
      <c r="T35" s="150"/>
    </row>
    <row r="36" spans="1:20">
      <c r="A36" s="561"/>
      <c r="B36" s="154" t="s">
        <v>908</v>
      </c>
      <c r="C36" s="154"/>
      <c r="D36" s="139"/>
      <c r="E36" s="141"/>
      <c r="F36" s="414"/>
      <c r="G36" s="414"/>
      <c r="H36" s="414"/>
      <c r="I36" s="588"/>
      <c r="J36" s="414"/>
      <c r="K36" s="150"/>
      <c r="L36" s="414"/>
      <c r="M36" s="414"/>
      <c r="N36" s="414"/>
      <c r="O36" s="588"/>
      <c r="P36" s="414"/>
      <c r="Q36" s="150"/>
      <c r="R36" s="150"/>
      <c r="S36" s="150"/>
      <c r="T36" s="150"/>
    </row>
    <row r="37" spans="1:20">
      <c r="A37" s="561"/>
      <c r="B37" s="154" t="s">
        <v>909</v>
      </c>
      <c r="C37" s="139"/>
      <c r="D37" s="154"/>
      <c r="E37" s="141"/>
      <c r="F37" s="586">
        <v>0</v>
      </c>
      <c r="G37" s="586"/>
      <c r="H37" s="586">
        <v>0</v>
      </c>
      <c r="I37" s="586"/>
      <c r="J37" s="586">
        <f t="shared" ref="J37:J39" si="4">SUM(F37:H37)</f>
        <v>0</v>
      </c>
      <c r="K37" s="586"/>
      <c r="L37" s="586">
        <v>0</v>
      </c>
      <c r="M37" s="586"/>
      <c r="N37" s="586">
        <v>0</v>
      </c>
      <c r="O37" s="586"/>
      <c r="P37" s="586">
        <f t="shared" ref="P37:P39" si="5">SUM(L37:N37)</f>
        <v>0</v>
      </c>
      <c r="Q37" s="586"/>
      <c r="R37" s="150"/>
      <c r="S37" s="150"/>
      <c r="T37" s="150"/>
    </row>
    <row r="38" spans="1:20">
      <c r="A38" s="561"/>
      <c r="B38" s="139" t="s">
        <v>910</v>
      </c>
      <c r="C38" s="139"/>
      <c r="D38" s="140"/>
      <c r="E38" s="141"/>
      <c r="F38" s="586">
        <v>0</v>
      </c>
      <c r="G38" s="586"/>
      <c r="H38" s="586">
        <v>0</v>
      </c>
      <c r="I38" s="586"/>
      <c r="J38" s="586">
        <f t="shared" si="4"/>
        <v>0</v>
      </c>
      <c r="K38" s="586"/>
      <c r="L38" s="586">
        <v>0</v>
      </c>
      <c r="M38" s="586"/>
      <c r="N38" s="586">
        <v>0</v>
      </c>
      <c r="O38" s="586"/>
      <c r="P38" s="586">
        <f t="shared" si="5"/>
        <v>0</v>
      </c>
      <c r="Q38" s="586"/>
      <c r="R38" s="150"/>
      <c r="S38" s="150"/>
      <c r="T38" s="150"/>
    </row>
    <row r="39" spans="1:20">
      <c r="A39" s="561"/>
      <c r="B39" s="154" t="s">
        <v>81</v>
      </c>
      <c r="C39" s="139"/>
      <c r="D39" s="154"/>
      <c r="E39" s="141"/>
      <c r="F39" s="589">
        <v>0</v>
      </c>
      <c r="G39" s="414"/>
      <c r="H39" s="589">
        <v>0</v>
      </c>
      <c r="I39" s="588"/>
      <c r="J39" s="589">
        <f t="shared" si="4"/>
        <v>0</v>
      </c>
      <c r="K39" s="150"/>
      <c r="L39" s="589">
        <v>0</v>
      </c>
      <c r="M39" s="414"/>
      <c r="N39" s="589">
        <v>0</v>
      </c>
      <c r="O39" s="588"/>
      <c r="P39" s="589">
        <f t="shared" si="5"/>
        <v>0</v>
      </c>
      <c r="Q39" s="150"/>
      <c r="R39" s="150"/>
      <c r="S39" s="150"/>
      <c r="T39" s="150"/>
    </row>
    <row r="40" spans="1:20">
      <c r="A40" s="561"/>
      <c r="B40" s="138"/>
      <c r="C40" s="154"/>
      <c r="D40" s="154"/>
      <c r="E40" s="141"/>
      <c r="F40" s="709"/>
      <c r="G40" s="588"/>
      <c r="H40" s="709"/>
      <c r="I40" s="497"/>
      <c r="J40" s="709"/>
      <c r="K40" s="150"/>
      <c r="L40" s="709"/>
      <c r="M40" s="588"/>
      <c r="N40" s="709"/>
      <c r="O40" s="497"/>
      <c r="P40" s="709"/>
      <c r="Q40" s="150"/>
      <c r="R40" s="150"/>
      <c r="S40" s="150"/>
      <c r="T40" s="150"/>
    </row>
    <row r="41" spans="1:20">
      <c r="A41" s="561"/>
      <c r="B41" s="138" t="s">
        <v>82</v>
      </c>
      <c r="C41" s="139"/>
      <c r="D41" s="154"/>
      <c r="E41" s="141"/>
      <c r="F41" s="589">
        <f>SUM(F35:F39)</f>
        <v>0</v>
      </c>
      <c r="G41" s="414"/>
      <c r="H41" s="589">
        <f>SUM(H35:H39)</f>
        <v>0</v>
      </c>
      <c r="I41" s="588"/>
      <c r="J41" s="589">
        <f>SUM(F41:H41)</f>
        <v>0</v>
      </c>
      <c r="K41" s="150"/>
      <c r="L41" s="589">
        <f>SUM(L35:L39)</f>
        <v>0</v>
      </c>
      <c r="M41" s="414"/>
      <c r="N41" s="589">
        <f>SUM(N35:N39)</f>
        <v>0</v>
      </c>
      <c r="O41" s="588"/>
      <c r="P41" s="589">
        <f>SUM(L41:N41)</f>
        <v>0</v>
      </c>
      <c r="Q41" s="150"/>
      <c r="R41" s="150"/>
      <c r="S41" s="150"/>
      <c r="T41" s="150"/>
    </row>
    <row r="42" spans="1:20">
      <c r="A42" s="561"/>
      <c r="B42" s="138"/>
      <c r="C42" s="138"/>
      <c r="D42" s="140"/>
      <c r="E42" s="141"/>
      <c r="F42" s="709"/>
      <c r="G42" s="414"/>
      <c r="H42" s="709"/>
      <c r="I42" s="588"/>
      <c r="J42" s="709"/>
      <c r="K42" s="150"/>
      <c r="L42" s="709"/>
      <c r="M42" s="414"/>
      <c r="N42" s="709"/>
      <c r="O42" s="588"/>
      <c r="P42" s="709"/>
      <c r="Q42" s="150"/>
      <c r="R42" s="150"/>
      <c r="S42" s="150"/>
      <c r="T42" s="150"/>
    </row>
    <row r="43" spans="1:20">
      <c r="A43" s="561"/>
      <c r="B43" s="140" t="s">
        <v>83</v>
      </c>
      <c r="C43" s="154"/>
      <c r="D43" s="140"/>
      <c r="E43" s="141"/>
      <c r="F43" s="586">
        <f>F26+F41</f>
        <v>0</v>
      </c>
      <c r="G43" s="586"/>
      <c r="H43" s="586">
        <f>H26+H41</f>
        <v>0</v>
      </c>
      <c r="I43" s="586"/>
      <c r="J43" s="586">
        <f>SUM(F43:H43)</f>
        <v>0</v>
      </c>
      <c r="K43" s="586"/>
      <c r="L43" s="586">
        <f>L26+L41</f>
        <v>0</v>
      </c>
      <c r="M43" s="586"/>
      <c r="N43" s="586">
        <f>N26+N41</f>
        <v>0</v>
      </c>
      <c r="O43" s="586"/>
      <c r="P43" s="586">
        <f>SUM(L43:N43)</f>
        <v>0</v>
      </c>
      <c r="Q43" s="150"/>
      <c r="R43" s="150"/>
      <c r="S43" s="150"/>
      <c r="T43" s="150"/>
    </row>
    <row r="44" spans="1:20">
      <c r="A44" s="561"/>
      <c r="B44" s="139" t="s">
        <v>376</v>
      </c>
      <c r="C44" s="154"/>
      <c r="D44" s="140"/>
      <c r="E44" s="141"/>
      <c r="F44" s="586"/>
      <c r="G44" s="586"/>
      <c r="H44" s="586"/>
      <c r="I44" s="586"/>
      <c r="J44" s="586"/>
      <c r="K44" s="586"/>
      <c r="L44" s="586"/>
      <c r="M44" s="586"/>
      <c r="N44" s="586"/>
      <c r="O44" s="586"/>
      <c r="P44" s="586"/>
      <c r="Q44" s="150"/>
      <c r="R44" s="150"/>
      <c r="S44" s="150"/>
      <c r="T44" s="150"/>
    </row>
    <row r="45" spans="1:20">
      <c r="A45" s="561"/>
      <c r="B45" s="139" t="s">
        <v>84</v>
      </c>
      <c r="C45" s="139"/>
      <c r="D45" s="140"/>
      <c r="E45" s="141"/>
      <c r="F45" s="586">
        <v>0</v>
      </c>
      <c r="G45" s="586"/>
      <c r="H45" s="586">
        <v>0</v>
      </c>
      <c r="I45" s="586"/>
      <c r="J45" s="586">
        <f>SUM(F45:H45)</f>
        <v>0</v>
      </c>
      <c r="K45" s="586"/>
      <c r="L45" s="586">
        <v>0</v>
      </c>
      <c r="M45" s="586"/>
      <c r="N45" s="586">
        <v>0</v>
      </c>
      <c r="O45" s="586"/>
      <c r="P45" s="586">
        <f>SUM(L45:N45)</f>
        <v>0</v>
      </c>
      <c r="Q45" s="150"/>
      <c r="R45" s="150"/>
      <c r="S45" s="150"/>
      <c r="T45" s="150"/>
    </row>
    <row r="46" spans="1:20">
      <c r="A46" s="561"/>
      <c r="B46" s="139"/>
      <c r="C46" s="139"/>
      <c r="D46" s="140"/>
      <c r="E46" s="141"/>
      <c r="F46" s="586"/>
      <c r="G46" s="586"/>
      <c r="H46" s="586"/>
      <c r="I46" s="586"/>
      <c r="J46" s="586"/>
      <c r="K46" s="586"/>
      <c r="L46" s="586"/>
      <c r="M46" s="586"/>
      <c r="N46" s="586"/>
      <c r="O46" s="586"/>
      <c r="P46" s="586"/>
      <c r="Q46" s="150"/>
      <c r="R46" s="150"/>
      <c r="S46" s="150"/>
      <c r="T46" s="150"/>
    </row>
    <row r="47" spans="1:20">
      <c r="A47" s="561"/>
      <c r="B47" s="140" t="s">
        <v>85</v>
      </c>
      <c r="C47" s="140"/>
      <c r="D47" s="140"/>
      <c r="E47" s="141"/>
      <c r="F47" s="586"/>
      <c r="G47" s="586"/>
      <c r="H47" s="586"/>
      <c r="I47" s="586"/>
      <c r="J47" s="586"/>
      <c r="K47" s="586"/>
      <c r="L47" s="586"/>
      <c r="M47" s="586"/>
      <c r="N47" s="586"/>
      <c r="O47" s="586"/>
      <c r="P47" s="586"/>
      <c r="Q47" s="150"/>
      <c r="R47" s="150"/>
      <c r="S47" s="150"/>
      <c r="T47" s="150"/>
    </row>
    <row r="48" spans="1:20">
      <c r="A48" s="561"/>
      <c r="B48" s="140"/>
      <c r="C48" s="139"/>
      <c r="D48" s="140"/>
      <c r="E48" s="141"/>
      <c r="F48" s="586"/>
      <c r="G48" s="586"/>
      <c r="H48" s="586"/>
      <c r="I48" s="586"/>
      <c r="J48" s="586"/>
      <c r="K48" s="586"/>
      <c r="L48" s="586"/>
      <c r="M48" s="586"/>
      <c r="N48" s="586"/>
      <c r="O48" s="586"/>
      <c r="P48" s="586"/>
      <c r="Q48" s="150"/>
      <c r="R48" s="150"/>
      <c r="S48" s="150"/>
      <c r="T48" s="150"/>
    </row>
    <row r="49" spans="1:20">
      <c r="A49" s="561"/>
      <c r="B49" s="139" t="s">
        <v>550</v>
      </c>
      <c r="C49" s="139"/>
      <c r="D49" s="140"/>
      <c r="E49" s="141"/>
      <c r="F49" s="586">
        <v>0</v>
      </c>
      <c r="G49" s="586"/>
      <c r="H49" s="586">
        <v>0</v>
      </c>
      <c r="I49" s="586"/>
      <c r="J49" s="586">
        <f>SUM(F49:H49)</f>
        <v>0</v>
      </c>
      <c r="K49" s="586"/>
      <c r="L49" s="586">
        <v>0</v>
      </c>
      <c r="M49" s="586"/>
      <c r="N49" s="586">
        <v>0</v>
      </c>
      <c r="O49" s="586"/>
      <c r="P49" s="586">
        <f>SUM(L49:N49)</f>
        <v>0</v>
      </c>
      <c r="Q49" s="150"/>
      <c r="R49" s="150"/>
      <c r="S49" s="150"/>
      <c r="T49" s="150"/>
    </row>
    <row r="50" spans="1:20">
      <c r="A50" s="561"/>
      <c r="B50" s="139"/>
      <c r="C50" s="139"/>
      <c r="D50" s="140"/>
      <c r="E50" s="141"/>
      <c r="F50" s="586"/>
      <c r="G50" s="586"/>
      <c r="H50" s="586"/>
      <c r="I50" s="586"/>
      <c r="J50" s="586"/>
      <c r="K50" s="586"/>
      <c r="L50" s="586"/>
      <c r="M50" s="586"/>
      <c r="N50" s="586"/>
      <c r="O50" s="586"/>
      <c r="P50" s="586"/>
      <c r="Q50" s="150"/>
      <c r="R50" s="150"/>
      <c r="S50" s="150"/>
      <c r="T50" s="150"/>
    </row>
    <row r="51" spans="1:20">
      <c r="A51" s="561"/>
      <c r="B51" s="139" t="s">
        <v>911</v>
      </c>
      <c r="C51" s="139"/>
      <c r="D51" s="590"/>
      <c r="E51" s="141"/>
      <c r="F51" s="586">
        <v>0</v>
      </c>
      <c r="G51" s="586"/>
      <c r="H51" s="586">
        <v>0</v>
      </c>
      <c r="I51" s="586"/>
      <c r="J51" s="586">
        <f>SUM(F51:H51)</f>
        <v>0</v>
      </c>
      <c r="K51" s="586"/>
      <c r="L51" s="586">
        <v>0</v>
      </c>
      <c r="M51" s="586"/>
      <c r="N51" s="586">
        <v>0</v>
      </c>
      <c r="O51" s="586"/>
      <c r="P51" s="586">
        <f>SUM(L51:N51)</f>
        <v>0</v>
      </c>
      <c r="Q51" s="150"/>
      <c r="R51" s="150"/>
      <c r="S51" s="150"/>
      <c r="T51" s="150"/>
    </row>
    <row r="52" spans="1:20">
      <c r="A52" s="561"/>
      <c r="B52" s="139"/>
      <c r="C52" s="139"/>
      <c r="D52" s="590"/>
      <c r="E52" s="141"/>
      <c r="F52" s="586"/>
      <c r="G52" s="586"/>
      <c r="H52" s="586"/>
      <c r="I52" s="586"/>
      <c r="J52" s="586"/>
      <c r="K52" s="586"/>
      <c r="L52" s="586"/>
      <c r="M52" s="586"/>
      <c r="N52" s="586"/>
      <c r="O52" s="586"/>
      <c r="P52" s="586"/>
      <c r="Q52" s="150"/>
      <c r="R52" s="150"/>
      <c r="S52" s="150"/>
      <c r="T52" s="150"/>
    </row>
    <row r="53" spans="1:20">
      <c r="A53" s="561"/>
      <c r="B53" s="139" t="s">
        <v>912</v>
      </c>
      <c r="C53" s="139"/>
      <c r="D53" s="140"/>
      <c r="E53" s="141"/>
      <c r="F53" s="586">
        <v>0</v>
      </c>
      <c r="G53" s="586"/>
      <c r="H53" s="586">
        <v>0</v>
      </c>
      <c r="I53" s="586"/>
      <c r="J53" s="586">
        <f>SUM(F53:H53)</f>
        <v>0</v>
      </c>
      <c r="K53" s="586"/>
      <c r="L53" s="586">
        <v>0</v>
      </c>
      <c r="M53" s="586"/>
      <c r="N53" s="586">
        <v>0</v>
      </c>
      <c r="O53" s="586"/>
      <c r="P53" s="586">
        <f>SUM(L53:N53)</f>
        <v>0</v>
      </c>
      <c r="Q53" s="150"/>
      <c r="R53" s="150"/>
      <c r="S53" s="150"/>
      <c r="T53" s="150"/>
    </row>
    <row r="54" spans="1:20">
      <c r="A54" s="561"/>
      <c r="B54" s="139"/>
      <c r="C54" s="139"/>
      <c r="D54" s="140"/>
      <c r="E54" s="141"/>
      <c r="F54" s="414"/>
      <c r="G54" s="414"/>
      <c r="H54" s="414"/>
      <c r="I54" s="588"/>
      <c r="J54" s="414"/>
      <c r="K54" s="150"/>
      <c r="L54" s="414"/>
      <c r="M54" s="414"/>
      <c r="N54" s="414"/>
      <c r="O54" s="588"/>
      <c r="P54" s="589"/>
      <c r="Q54" s="150"/>
      <c r="R54" s="150"/>
      <c r="S54" s="150"/>
      <c r="T54" s="150"/>
    </row>
    <row r="55" spans="1:20" ht="13.5" thickBot="1">
      <c r="A55" s="561"/>
      <c r="B55" s="140" t="s">
        <v>88</v>
      </c>
      <c r="C55" s="139"/>
      <c r="D55" s="154"/>
      <c r="E55" s="143"/>
      <c r="F55" s="591">
        <f>SUM(F43:F53)</f>
        <v>0</v>
      </c>
      <c r="G55" s="414"/>
      <c r="H55" s="591">
        <f>SUM(H43:H53)</f>
        <v>0</v>
      </c>
      <c r="I55" s="588"/>
      <c r="J55" s="591">
        <f>SUM(F55:H55)</f>
        <v>0</v>
      </c>
      <c r="K55" s="150"/>
      <c r="L55" s="591">
        <f>SUM(L43:L53)</f>
        <v>0</v>
      </c>
      <c r="M55" s="414"/>
      <c r="N55" s="591">
        <f>SUM(N43:N53)</f>
        <v>0</v>
      </c>
      <c r="O55" s="588"/>
      <c r="P55" s="592">
        <f>SUM(L55:N55)</f>
        <v>0</v>
      </c>
      <c r="Q55" s="150"/>
      <c r="R55" s="150"/>
      <c r="S55" s="150"/>
      <c r="T55" s="150"/>
    </row>
    <row r="56" spans="1:20" ht="13.5" thickTop="1">
      <c r="A56" s="561"/>
      <c r="B56" s="140"/>
      <c r="C56" s="139"/>
      <c r="D56" s="154"/>
      <c r="E56" s="143"/>
      <c r="F56" s="414"/>
      <c r="G56" s="414"/>
      <c r="H56" s="414"/>
      <c r="I56" s="588"/>
      <c r="J56" s="414"/>
      <c r="K56" s="150"/>
      <c r="L56" s="414"/>
      <c r="M56" s="414"/>
      <c r="N56" s="414"/>
      <c r="O56" s="588"/>
      <c r="P56" s="414"/>
      <c r="Q56" s="150"/>
      <c r="R56" s="150"/>
      <c r="S56" s="150"/>
      <c r="T56" s="150"/>
    </row>
    <row r="57" spans="1:20">
      <c r="A57" s="561"/>
      <c r="B57" s="140"/>
      <c r="C57" s="139"/>
      <c r="D57" s="154"/>
      <c r="E57" s="143"/>
      <c r="F57" s="414"/>
      <c r="G57" s="414"/>
      <c r="H57" s="414"/>
      <c r="I57" s="588"/>
      <c r="J57" s="414"/>
      <c r="K57" s="150"/>
      <c r="L57" s="414"/>
      <c r="M57" s="414"/>
      <c r="N57" s="414"/>
      <c r="O57" s="588"/>
      <c r="P57" s="414"/>
      <c r="Q57" s="150"/>
      <c r="R57" s="150"/>
      <c r="S57" s="150"/>
      <c r="T57" s="150"/>
    </row>
    <row r="58" spans="1:20" s="595" customFormat="1">
      <c r="A58" s="534"/>
      <c r="B58" s="140" t="s">
        <v>1138</v>
      </c>
      <c r="C58" s="140"/>
      <c r="D58" s="138"/>
      <c r="E58" s="143"/>
      <c r="F58" s="605">
        <v>0</v>
      </c>
      <c r="G58" s="605"/>
      <c r="H58" s="605">
        <v>0</v>
      </c>
      <c r="I58" s="605"/>
      <c r="J58" s="605">
        <f>SUM(F58:H58)</f>
        <v>0</v>
      </c>
      <c r="K58" s="605"/>
      <c r="L58" s="605">
        <v>0</v>
      </c>
      <c r="M58" s="605"/>
      <c r="N58" s="605">
        <v>0</v>
      </c>
      <c r="O58" s="605"/>
      <c r="P58" s="605">
        <f>SUM(L58:N58)</f>
        <v>0</v>
      </c>
      <c r="Q58" s="152"/>
      <c r="R58" s="152"/>
      <c r="S58" s="152"/>
      <c r="T58" s="152"/>
    </row>
    <row r="59" spans="1:20">
      <c r="A59" s="755"/>
      <c r="B59" s="140"/>
      <c r="C59" s="139"/>
      <c r="D59" s="154"/>
      <c r="E59" s="143"/>
      <c r="F59" s="414"/>
      <c r="G59" s="414"/>
      <c r="H59" s="414"/>
      <c r="I59" s="588"/>
      <c r="J59" s="414"/>
      <c r="K59" s="150"/>
      <c r="L59" s="414"/>
      <c r="M59" s="414"/>
      <c r="N59" s="414"/>
      <c r="O59" s="588"/>
      <c r="P59" s="414"/>
      <c r="Q59" s="150"/>
      <c r="R59" s="150"/>
      <c r="S59" s="150"/>
      <c r="T59" s="150"/>
    </row>
    <row r="60" spans="1:20">
      <c r="A60" s="561"/>
      <c r="B60" s="138" t="s">
        <v>89</v>
      </c>
      <c r="C60" s="154"/>
      <c r="D60" s="154"/>
      <c r="E60" s="141"/>
      <c r="F60" s="414"/>
      <c r="G60" s="414"/>
      <c r="H60" s="414"/>
      <c r="I60" s="588"/>
      <c r="J60" s="414"/>
      <c r="K60" s="150"/>
      <c r="L60" s="414"/>
      <c r="M60" s="414"/>
      <c r="N60" s="414"/>
      <c r="O60" s="588"/>
      <c r="P60" s="414"/>
      <c r="Q60" s="150"/>
      <c r="R60" s="150"/>
      <c r="S60" s="150"/>
      <c r="T60" s="150"/>
    </row>
    <row r="61" spans="1:20">
      <c r="A61" s="561"/>
      <c r="B61" s="154" t="s">
        <v>90</v>
      </c>
      <c r="C61" s="154"/>
      <c r="D61" s="154"/>
      <c r="E61" s="141"/>
      <c r="F61" s="586">
        <v>0</v>
      </c>
      <c r="G61" s="586"/>
      <c r="H61" s="586">
        <v>0</v>
      </c>
      <c r="I61" s="586"/>
      <c r="J61" s="586">
        <f>SUM(F61:H61)</f>
        <v>0</v>
      </c>
      <c r="K61" s="586"/>
      <c r="L61" s="586">
        <v>0</v>
      </c>
      <c r="M61" s="586"/>
      <c r="N61" s="586">
        <v>0</v>
      </c>
      <c r="O61" s="586"/>
      <c r="P61" s="586">
        <f>SUM(L61:N61)</f>
        <v>0</v>
      </c>
      <c r="Q61" s="150"/>
      <c r="R61" s="150"/>
      <c r="S61" s="150"/>
      <c r="T61" s="150"/>
    </row>
    <row r="62" spans="1:20">
      <c r="A62" s="561"/>
      <c r="B62" s="154" t="s">
        <v>91</v>
      </c>
      <c r="C62" s="154"/>
      <c r="D62" s="154"/>
      <c r="E62" s="141"/>
      <c r="F62" s="586">
        <v>0</v>
      </c>
      <c r="G62" s="586"/>
      <c r="H62" s="586">
        <v>0</v>
      </c>
      <c r="I62" s="586"/>
      <c r="J62" s="586">
        <f>SUM(F62:H62)</f>
        <v>0</v>
      </c>
      <c r="K62" s="586"/>
      <c r="L62" s="586">
        <v>0</v>
      </c>
      <c r="M62" s="586"/>
      <c r="N62" s="586">
        <v>0</v>
      </c>
      <c r="O62" s="586"/>
      <c r="P62" s="586">
        <f>SUM(L62:N62)</f>
        <v>0</v>
      </c>
      <c r="Q62" s="150"/>
      <c r="R62" s="150"/>
      <c r="S62" s="150"/>
      <c r="T62" s="150"/>
    </row>
    <row r="63" spans="1:20">
      <c r="A63" s="561"/>
      <c r="B63" s="138" t="s">
        <v>92</v>
      </c>
      <c r="C63" s="154"/>
      <c r="D63" s="154"/>
      <c r="E63" s="141"/>
      <c r="F63" s="586"/>
      <c r="G63" s="586"/>
      <c r="H63" s="586"/>
      <c r="I63" s="586"/>
      <c r="J63" s="586"/>
      <c r="K63" s="586"/>
      <c r="L63" s="586"/>
      <c r="M63" s="586"/>
      <c r="N63" s="586"/>
      <c r="O63" s="586"/>
      <c r="P63" s="586"/>
      <c r="Q63" s="150"/>
      <c r="R63" s="150"/>
      <c r="S63" s="150"/>
      <c r="T63" s="150"/>
    </row>
    <row r="64" spans="1:20">
      <c r="A64" s="561"/>
      <c r="B64" s="154" t="s">
        <v>93</v>
      </c>
      <c r="C64" s="154"/>
      <c r="D64" s="154"/>
      <c r="E64" s="141"/>
      <c r="F64" s="586">
        <v>0</v>
      </c>
      <c r="G64" s="586"/>
      <c r="H64" s="586">
        <v>0</v>
      </c>
      <c r="I64" s="586"/>
      <c r="J64" s="586">
        <f>SUM(F64:H64)</f>
        <v>0</v>
      </c>
      <c r="K64" s="586"/>
      <c r="L64" s="586">
        <v>0</v>
      </c>
      <c r="M64" s="586"/>
      <c r="N64" s="586">
        <v>0</v>
      </c>
      <c r="O64" s="586"/>
      <c r="P64" s="586">
        <f>SUM(L64:N64)</f>
        <v>0</v>
      </c>
      <c r="Q64" s="150"/>
      <c r="R64" s="150"/>
      <c r="S64" s="150"/>
      <c r="T64" s="150"/>
    </row>
    <row r="65" spans="1:20">
      <c r="A65" s="561"/>
      <c r="B65" s="154" t="s">
        <v>61</v>
      </c>
      <c r="C65" s="154"/>
      <c r="D65" s="154"/>
      <c r="E65" s="141"/>
      <c r="F65" s="586">
        <v>0</v>
      </c>
      <c r="G65" s="414"/>
      <c r="H65" s="586">
        <v>0</v>
      </c>
      <c r="I65" s="588"/>
      <c r="J65" s="586">
        <f>SUM(F65:H65)</f>
        <v>0</v>
      </c>
      <c r="K65" s="150"/>
      <c r="L65" s="586">
        <v>0</v>
      </c>
      <c r="M65" s="414"/>
      <c r="N65" s="586">
        <v>0</v>
      </c>
      <c r="O65" s="588"/>
      <c r="P65" s="586">
        <f>SUM(L65:N65)</f>
        <v>0</v>
      </c>
      <c r="Q65" s="150"/>
      <c r="R65" s="150"/>
      <c r="S65" s="150"/>
      <c r="T65" s="150"/>
    </row>
    <row r="66" spans="1:20">
      <c r="A66" s="561"/>
      <c r="B66" s="154"/>
      <c r="C66" s="154"/>
      <c r="D66" s="154"/>
      <c r="E66" s="141"/>
      <c r="F66" s="708">
        <f>SUM(F61:F65)</f>
        <v>0</v>
      </c>
      <c r="G66" s="150"/>
      <c r="H66" s="708">
        <f>SUM(H61:H65)</f>
        <v>0</v>
      </c>
      <c r="I66" s="586"/>
      <c r="J66" s="708">
        <f>SUM(F66:H66)</f>
        <v>0</v>
      </c>
      <c r="K66" s="586"/>
      <c r="L66" s="708">
        <f>SUM(L61:L65)</f>
        <v>0</v>
      </c>
      <c r="M66" s="586"/>
      <c r="N66" s="708">
        <f>SUM(N61:N65)</f>
        <v>0</v>
      </c>
      <c r="O66" s="586"/>
      <c r="P66" s="708">
        <f>SUM(L66:N66)</f>
        <v>0</v>
      </c>
      <c r="Q66" s="150"/>
      <c r="R66" s="150"/>
      <c r="S66" s="150"/>
      <c r="T66" s="150"/>
    </row>
    <row r="67" spans="1:20">
      <c r="A67" s="561"/>
      <c r="B67" s="139" t="s">
        <v>94</v>
      </c>
      <c r="C67" s="139"/>
      <c r="D67" s="140"/>
      <c r="E67" s="141"/>
      <c r="F67" s="586">
        <v>0</v>
      </c>
      <c r="G67" s="150"/>
      <c r="H67" s="586">
        <v>0</v>
      </c>
      <c r="I67" s="586"/>
      <c r="J67" s="586">
        <f>SUM(F67:H67)</f>
        <v>0</v>
      </c>
      <c r="K67" s="586"/>
      <c r="L67" s="586">
        <v>0</v>
      </c>
      <c r="M67" s="586"/>
      <c r="N67" s="586">
        <v>0</v>
      </c>
      <c r="O67" s="586"/>
      <c r="P67" s="586">
        <f>SUM(L67:N67)</f>
        <v>0</v>
      </c>
      <c r="Q67" s="150"/>
      <c r="R67" s="150"/>
      <c r="S67" s="150"/>
      <c r="T67" s="150"/>
    </row>
    <row r="68" spans="1:20" ht="13.5" thickBot="1">
      <c r="A68" s="561"/>
      <c r="B68" s="138" t="s">
        <v>95</v>
      </c>
      <c r="C68" s="138"/>
      <c r="D68" s="154"/>
      <c r="E68" s="141"/>
      <c r="F68" s="591">
        <f>SUM(F67+F66)</f>
        <v>0</v>
      </c>
      <c r="G68" s="150"/>
      <c r="H68" s="591">
        <f>SUM(H67+H66)</f>
        <v>0</v>
      </c>
      <c r="I68" s="586"/>
      <c r="J68" s="591">
        <f>SUM(F68:H68)</f>
        <v>0</v>
      </c>
      <c r="K68" s="586"/>
      <c r="L68" s="591">
        <f>SUM(L67+L66)</f>
        <v>0</v>
      </c>
      <c r="M68" s="586"/>
      <c r="N68" s="591">
        <f>SUM(N67+N66)</f>
        <v>0</v>
      </c>
      <c r="O68" s="586"/>
      <c r="P68" s="591">
        <f>SUM(L68:N68)</f>
        <v>0</v>
      </c>
      <c r="Q68" s="150"/>
      <c r="R68" s="150"/>
      <c r="S68" s="150"/>
      <c r="T68" s="150"/>
    </row>
    <row r="69" spans="1:20" ht="13.5" thickTop="1">
      <c r="A69" s="561"/>
      <c r="B69" s="150"/>
      <c r="C69" s="150"/>
      <c r="D69" s="150"/>
      <c r="E69" s="150"/>
      <c r="F69" s="150"/>
      <c r="G69" s="150"/>
      <c r="H69" s="150"/>
      <c r="I69" s="150"/>
      <c r="J69" s="150"/>
      <c r="K69" s="150"/>
      <c r="L69" s="150"/>
      <c r="M69" s="150"/>
      <c r="N69" s="593"/>
      <c r="O69" s="152"/>
      <c r="P69" s="152"/>
      <c r="Q69" s="150"/>
      <c r="R69" s="150"/>
      <c r="S69" s="150"/>
      <c r="T69" s="150"/>
    </row>
    <row r="70" spans="1:20">
      <c r="A70" s="561"/>
      <c r="B70" s="543" t="s">
        <v>913</v>
      </c>
      <c r="C70" s="150"/>
      <c r="D70" s="150"/>
      <c r="E70" s="150"/>
      <c r="F70" s="150"/>
      <c r="G70" s="150"/>
      <c r="H70" s="150"/>
      <c r="I70" s="150"/>
      <c r="J70" s="150"/>
      <c r="K70" s="150"/>
      <c r="L70" s="150"/>
      <c r="M70" s="150"/>
      <c r="N70" s="593"/>
      <c r="O70" s="152"/>
      <c r="P70" s="152"/>
      <c r="Q70" s="150"/>
      <c r="R70" s="150"/>
      <c r="S70" s="150"/>
      <c r="T70" s="150"/>
    </row>
    <row r="71" spans="1:20">
      <c r="A71" s="561"/>
      <c r="B71" s="150"/>
      <c r="C71" s="150"/>
      <c r="D71" s="150"/>
      <c r="E71" s="150"/>
      <c r="F71" s="150"/>
      <c r="G71" s="150"/>
      <c r="H71" s="150"/>
      <c r="I71" s="150"/>
      <c r="J71" s="150"/>
      <c r="K71" s="150"/>
      <c r="L71" s="150"/>
      <c r="M71" s="150"/>
      <c r="N71" s="593"/>
      <c r="O71" s="152"/>
      <c r="P71" s="152"/>
      <c r="Q71" s="150"/>
      <c r="R71" s="150"/>
      <c r="S71" s="150"/>
      <c r="T71" s="150"/>
    </row>
    <row r="72" spans="1:20">
      <c r="A72" s="561"/>
      <c r="B72" s="150" t="s">
        <v>914</v>
      </c>
      <c r="C72" s="150" t="s">
        <v>915</v>
      </c>
      <c r="D72" s="150"/>
      <c r="E72" s="150"/>
      <c r="F72" s="150"/>
      <c r="G72" s="150"/>
      <c r="H72" s="150"/>
      <c r="I72" s="150"/>
      <c r="J72" s="150"/>
      <c r="K72" s="150"/>
      <c r="L72" s="150"/>
      <c r="M72" s="150"/>
      <c r="N72" s="593"/>
      <c r="O72" s="152"/>
      <c r="P72" s="152"/>
      <c r="Q72" s="150"/>
      <c r="R72" s="150"/>
      <c r="S72" s="150"/>
      <c r="T72" s="150"/>
    </row>
    <row r="73" spans="1:20">
      <c r="A73" s="561"/>
      <c r="B73" s="150"/>
      <c r="C73" s="150"/>
      <c r="D73" s="150"/>
      <c r="E73" s="150"/>
      <c r="F73" s="150"/>
      <c r="G73" s="150"/>
      <c r="H73" s="150"/>
      <c r="I73" s="150"/>
      <c r="J73" s="593"/>
      <c r="K73" s="152"/>
      <c r="L73" s="150"/>
      <c r="M73" s="150"/>
      <c r="N73" s="593"/>
      <c r="O73" s="152"/>
      <c r="P73" s="152"/>
      <c r="Q73" s="150"/>
      <c r="R73" s="150"/>
      <c r="S73" s="150"/>
      <c r="T73" s="150"/>
    </row>
    <row r="74" spans="1:20">
      <c r="A74" s="561"/>
      <c r="B74" s="150" t="s">
        <v>916</v>
      </c>
      <c r="C74" s="150"/>
      <c r="D74" s="150"/>
      <c r="E74" s="150"/>
      <c r="F74" s="150"/>
      <c r="G74" s="150"/>
      <c r="H74" s="150"/>
      <c r="I74" s="150"/>
      <c r="J74" s="593"/>
      <c r="K74" s="152"/>
      <c r="L74" s="150"/>
      <c r="M74" s="150"/>
      <c r="N74" s="593"/>
      <c r="O74" s="152"/>
      <c r="P74" s="152"/>
      <c r="Q74" s="150"/>
      <c r="R74" s="150"/>
      <c r="S74" s="150"/>
      <c r="T74" s="150"/>
    </row>
    <row r="75" spans="1:20">
      <c r="A75" s="561"/>
      <c r="B75" s="150"/>
      <c r="C75" s="150"/>
      <c r="D75" s="150"/>
      <c r="E75" s="150"/>
      <c r="F75" s="843" t="s">
        <v>362</v>
      </c>
      <c r="G75" s="843"/>
      <c r="H75" s="843"/>
      <c r="I75" s="843"/>
      <c r="J75" s="843"/>
      <c r="K75" s="152"/>
      <c r="L75" s="152"/>
      <c r="M75" s="150"/>
      <c r="N75" s="150"/>
      <c r="O75" s="150"/>
      <c r="P75" s="150"/>
      <c r="Q75" s="150"/>
      <c r="R75" s="150"/>
      <c r="S75" s="150"/>
      <c r="T75" s="150"/>
    </row>
    <row r="76" spans="1:20">
      <c r="A76" s="561"/>
      <c r="B76" s="150"/>
      <c r="C76" s="150"/>
      <c r="D76" s="150"/>
      <c r="E76" s="150"/>
      <c r="F76" s="152"/>
      <c r="G76" s="150"/>
      <c r="H76" s="150"/>
      <c r="I76" s="150"/>
      <c r="J76" s="150"/>
      <c r="K76" s="152"/>
      <c r="L76" s="152"/>
      <c r="M76" s="150"/>
      <c r="N76" s="150"/>
      <c r="O76" s="150"/>
      <c r="P76" s="150"/>
      <c r="Q76" s="150"/>
      <c r="R76" s="150"/>
      <c r="S76" s="150"/>
      <c r="T76" s="150"/>
    </row>
    <row r="77" spans="1:20">
      <c r="A77" s="561"/>
      <c r="B77" s="150"/>
      <c r="C77" s="150"/>
      <c r="D77" s="150"/>
      <c r="E77" s="150"/>
      <c r="F77" s="152"/>
      <c r="G77" s="150"/>
      <c r="H77" s="150"/>
      <c r="I77" s="150"/>
      <c r="J77" s="150"/>
      <c r="K77" s="152"/>
      <c r="L77" s="152"/>
      <c r="M77" s="150"/>
      <c r="N77" s="150"/>
      <c r="O77" s="150"/>
      <c r="P77" s="150"/>
      <c r="Q77" s="150"/>
      <c r="R77" s="150"/>
      <c r="S77" s="150"/>
      <c r="T77" s="150"/>
    </row>
    <row r="78" spans="1:20">
      <c r="A78" s="561"/>
      <c r="B78" s="150"/>
      <c r="C78" s="150"/>
      <c r="D78" s="150"/>
      <c r="E78" s="150"/>
      <c r="F78" s="152"/>
      <c r="G78" s="150"/>
      <c r="H78" s="150"/>
      <c r="I78" s="150"/>
      <c r="J78" s="150"/>
      <c r="K78" s="152"/>
      <c r="L78" s="152"/>
      <c r="M78" s="150"/>
      <c r="N78" s="150"/>
      <c r="O78" s="150"/>
      <c r="P78" s="150"/>
      <c r="Q78" s="150"/>
      <c r="R78" s="150"/>
      <c r="S78" s="150"/>
      <c r="T78" s="150"/>
    </row>
    <row r="79" spans="1:20">
      <c r="A79" s="561"/>
      <c r="B79" s="150"/>
      <c r="C79" s="150"/>
      <c r="D79" s="150"/>
      <c r="E79" s="150"/>
      <c r="F79" s="152"/>
      <c r="G79" s="150"/>
      <c r="H79" s="150"/>
      <c r="I79" s="150"/>
      <c r="J79" s="150"/>
      <c r="K79" s="152"/>
      <c r="L79" s="152"/>
      <c r="M79" s="150"/>
      <c r="N79" s="150"/>
      <c r="O79" s="150"/>
      <c r="P79" s="150"/>
      <c r="Q79" s="150"/>
      <c r="R79" s="150"/>
      <c r="S79" s="150"/>
      <c r="T79" s="150"/>
    </row>
    <row r="80" spans="1:20">
      <c r="A80" s="561"/>
      <c r="B80" s="150"/>
      <c r="C80" s="150"/>
      <c r="D80" s="150"/>
      <c r="E80" s="150"/>
      <c r="F80" s="152"/>
      <c r="G80" s="150"/>
      <c r="H80" s="150"/>
      <c r="I80" s="150"/>
      <c r="J80" s="150"/>
      <c r="K80" s="152"/>
      <c r="L80" s="152"/>
      <c r="M80" s="150"/>
      <c r="N80" s="150"/>
      <c r="O80" s="150"/>
      <c r="P80" s="150"/>
      <c r="Q80" s="150"/>
      <c r="R80" s="150"/>
      <c r="S80" s="150"/>
      <c r="T80" s="150"/>
    </row>
    <row r="81" spans="1:20">
      <c r="A81" s="561"/>
      <c r="B81" s="150"/>
      <c r="C81" s="150"/>
      <c r="D81" s="150"/>
      <c r="E81" s="150"/>
      <c r="F81" s="152"/>
      <c r="G81" s="150"/>
      <c r="H81" s="150"/>
      <c r="I81" s="150"/>
      <c r="J81" s="150"/>
      <c r="K81" s="152"/>
      <c r="L81" s="152"/>
      <c r="M81" s="150"/>
      <c r="N81" s="150"/>
      <c r="O81" s="150"/>
      <c r="P81" s="150"/>
      <c r="Q81" s="150"/>
      <c r="R81" s="150"/>
      <c r="S81" s="150"/>
      <c r="T81" s="150"/>
    </row>
    <row r="82" spans="1:20">
      <c r="A82" s="561"/>
      <c r="B82" s="150"/>
      <c r="C82" s="150"/>
      <c r="D82" s="150"/>
      <c r="E82" s="150"/>
      <c r="F82" s="152"/>
      <c r="G82" s="150"/>
      <c r="H82" s="150"/>
      <c r="I82" s="150"/>
      <c r="J82" s="150"/>
      <c r="K82" s="152"/>
      <c r="L82" s="152"/>
      <c r="M82" s="150"/>
      <c r="N82" s="150"/>
      <c r="O82" s="150"/>
      <c r="P82" s="150"/>
      <c r="Q82" s="150"/>
      <c r="R82" s="150"/>
      <c r="S82" s="150"/>
      <c r="T82" s="150"/>
    </row>
    <row r="83" spans="1:20">
      <c r="F83" s="595"/>
      <c r="J83" s="495"/>
    </row>
    <row r="84" spans="1:20">
      <c r="F84" s="595"/>
      <c r="J84" s="495"/>
    </row>
    <row r="85" spans="1:20">
      <c r="F85" s="595"/>
      <c r="J85" s="495"/>
    </row>
    <row r="86" spans="1:20">
      <c r="F86" s="595"/>
      <c r="J86" s="495"/>
    </row>
    <row r="87" spans="1:20">
      <c r="F87" s="595"/>
      <c r="J87" s="495"/>
    </row>
  </sheetData>
  <mergeCells count="3">
    <mergeCell ref="F15:J15"/>
    <mergeCell ref="L15:P15"/>
    <mergeCell ref="F75:J75"/>
  </mergeCells>
  <pageMargins left="0.70866141732283472" right="0.70866141732283472" top="0.74803149606299213" bottom="0.74803149606299213" header="0.31496062992125984" footer="0.31496062992125984"/>
  <pageSetup paperSize="9" scale="66" orientation="portrait" r:id="rId1"/>
  <headerFooter>
    <oddFooter>&amp;C&amp;P of &amp;N</oddFooter>
  </headerFooter>
  <rowBreaks count="2" manualBreakCount="2">
    <brk id="73" max="15" man="1"/>
    <brk id="80" max="16383" man="1"/>
  </rowBreaks>
  <colBreaks count="1" manualBreakCount="1">
    <brk id="5"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view="pageBreakPreview" topLeftCell="A40" zoomScale="130" zoomScaleNormal="100" zoomScaleSheetLayoutView="130" workbookViewId="0">
      <selection activeCell="F60" sqref="F60"/>
    </sheetView>
  </sheetViews>
  <sheetFormatPr defaultRowHeight="12.75"/>
  <cols>
    <col min="1" max="1" width="50.85546875" style="149" bestFit="1" customWidth="1"/>
    <col min="2" max="2" width="2.85546875" style="149" customWidth="1"/>
    <col min="3" max="3" width="9.140625" style="149"/>
    <col min="4" max="4" width="9.140625" style="571"/>
    <col min="5" max="5" width="1.140625" style="710" customWidth="1"/>
    <col min="6" max="6" width="9.140625" style="774"/>
    <col min="7" max="7" width="1.140625" style="775" customWidth="1"/>
    <col min="8" max="8" width="9.140625" style="774"/>
    <col min="9" max="9" width="1.140625" style="149" customWidth="1"/>
    <col min="10" max="10" width="9.140625" style="571"/>
    <col min="11" max="16384" width="9.140625" style="149"/>
  </cols>
  <sheetData>
    <row r="1" spans="1:10" ht="23.25">
      <c r="A1" s="146" t="s">
        <v>298</v>
      </c>
      <c r="B1" s="146"/>
      <c r="C1" s="146"/>
      <c r="D1" s="764"/>
      <c r="E1" s="669"/>
      <c r="F1" s="770"/>
      <c r="G1" s="771"/>
      <c r="H1" s="770"/>
      <c r="I1" s="146"/>
      <c r="J1" s="764"/>
    </row>
    <row r="2" spans="1:10" ht="18">
      <c r="A2" s="147" t="s">
        <v>129</v>
      </c>
      <c r="B2" s="147"/>
      <c r="C2" s="147"/>
      <c r="D2" s="765"/>
      <c r="E2" s="147"/>
      <c r="F2" s="666"/>
      <c r="G2" s="666"/>
      <c r="H2" s="666"/>
      <c r="I2" s="147"/>
      <c r="J2" s="765"/>
    </row>
    <row r="3" spans="1:10" ht="18.75" thickBot="1">
      <c r="A3" s="573"/>
      <c r="B3" s="574"/>
      <c r="C3" s="574"/>
      <c r="D3" s="766"/>
      <c r="E3" s="598"/>
      <c r="F3" s="769"/>
      <c r="G3" s="666"/>
      <c r="H3" s="769"/>
      <c r="I3" s="757"/>
      <c r="J3" s="766"/>
    </row>
    <row r="4" spans="1:10" ht="18">
      <c r="A4" s="597"/>
      <c r="B4" s="598"/>
      <c r="C4" s="598"/>
      <c r="D4" s="765"/>
      <c r="E4" s="598"/>
      <c r="F4" s="666"/>
      <c r="G4" s="666"/>
      <c r="H4" s="666"/>
      <c r="I4" s="598"/>
      <c r="J4" s="765"/>
    </row>
    <row r="5" spans="1:10" ht="48">
      <c r="A5" s="495"/>
      <c r="B5" s="150"/>
      <c r="C5" s="154" t="s">
        <v>20</v>
      </c>
      <c r="D5" s="763" t="s">
        <v>906</v>
      </c>
      <c r="E5" s="142"/>
      <c r="F5" s="599" t="s">
        <v>1188</v>
      </c>
      <c r="G5" s="599"/>
      <c r="H5" s="599" t="s">
        <v>1186</v>
      </c>
      <c r="I5" s="599"/>
      <c r="J5" s="417" t="s">
        <v>1187</v>
      </c>
    </row>
    <row r="6" spans="1:10">
      <c r="A6" s="150"/>
      <c r="C6" s="141"/>
      <c r="D6" s="143" t="s">
        <v>23</v>
      </c>
      <c r="E6" s="142"/>
      <c r="F6" s="142" t="s">
        <v>23</v>
      </c>
      <c r="G6" s="142"/>
      <c r="H6" s="142" t="s">
        <v>23</v>
      </c>
      <c r="I6" s="142"/>
      <c r="J6" s="417" t="s">
        <v>23</v>
      </c>
    </row>
    <row r="7" spans="1:10">
      <c r="A7" s="138" t="s">
        <v>11</v>
      </c>
      <c r="C7" s="150"/>
      <c r="D7" s="143"/>
      <c r="E7" s="414"/>
      <c r="F7" s="141"/>
      <c r="G7" s="142"/>
      <c r="H7" s="141"/>
      <c r="I7" s="138"/>
      <c r="J7" s="143"/>
    </row>
    <row r="8" spans="1:10">
      <c r="A8" s="154"/>
      <c r="C8" s="150"/>
      <c r="D8" s="143"/>
      <c r="E8" s="414"/>
      <c r="F8" s="141"/>
      <c r="G8" s="142"/>
      <c r="H8" s="141"/>
      <c r="I8" s="138"/>
      <c r="J8" s="143"/>
    </row>
    <row r="9" spans="1:10">
      <c r="A9" s="154" t="s">
        <v>12</v>
      </c>
      <c r="C9" s="150"/>
      <c r="D9" s="586">
        <v>0</v>
      </c>
      <c r="E9" s="586"/>
      <c r="F9" s="586">
        <v>0</v>
      </c>
      <c r="G9" s="586"/>
      <c r="H9" s="586">
        <f>SUM(D9:F9)</f>
        <v>0</v>
      </c>
      <c r="I9" s="414"/>
      <c r="J9" s="586">
        <f>SUM(D9:H9)</f>
        <v>0</v>
      </c>
    </row>
    <row r="10" spans="1:10">
      <c r="A10" s="139" t="s">
        <v>13</v>
      </c>
      <c r="C10" s="150"/>
      <c r="D10" s="586">
        <v>0</v>
      </c>
      <c r="E10" s="586"/>
      <c r="F10" s="586">
        <v>0</v>
      </c>
      <c r="G10" s="586"/>
      <c r="H10" s="586">
        <f t="shared" ref="H10:H13" si="0">SUM(D10:F10)</f>
        <v>0</v>
      </c>
      <c r="I10" s="414"/>
      <c r="J10" s="586">
        <f>SUM(D10:H10)</f>
        <v>0</v>
      </c>
    </row>
    <row r="11" spans="1:10">
      <c r="A11" s="154" t="s">
        <v>14</v>
      </c>
      <c r="C11" s="150"/>
      <c r="D11" s="586">
        <v>0</v>
      </c>
      <c r="E11" s="586"/>
      <c r="F11" s="586">
        <v>0</v>
      </c>
      <c r="G11" s="586"/>
      <c r="H11" s="586">
        <f t="shared" si="0"/>
        <v>0</v>
      </c>
      <c r="I11" s="414"/>
      <c r="J11" s="586">
        <f>SUM(D11:H11)</f>
        <v>0</v>
      </c>
    </row>
    <row r="12" spans="1:10">
      <c r="A12" s="154" t="s">
        <v>1135</v>
      </c>
      <c r="C12" s="150"/>
      <c r="D12" s="586">
        <v>0</v>
      </c>
      <c r="E12" s="586"/>
      <c r="F12" s="586">
        <v>0</v>
      </c>
      <c r="G12" s="586"/>
      <c r="H12" s="586">
        <f t="shared" si="0"/>
        <v>0</v>
      </c>
      <c r="I12" s="414"/>
      <c r="J12" s="586">
        <f>SUM(D12:H12)</f>
        <v>0</v>
      </c>
    </row>
    <row r="13" spans="1:10">
      <c r="A13" s="154" t="s">
        <v>16</v>
      </c>
      <c r="C13" s="150"/>
      <c r="D13" s="586">
        <v>0</v>
      </c>
      <c r="E13" s="586"/>
      <c r="F13" s="586">
        <v>0</v>
      </c>
      <c r="G13" s="586"/>
      <c r="H13" s="586">
        <f t="shared" si="0"/>
        <v>0</v>
      </c>
      <c r="I13" s="414"/>
      <c r="J13" s="586">
        <f>SUM(D13:H13)</f>
        <v>0</v>
      </c>
    </row>
    <row r="14" spans="1:10">
      <c r="A14" s="154"/>
      <c r="C14" s="150"/>
      <c r="D14" s="767"/>
      <c r="E14" s="414"/>
      <c r="F14" s="142"/>
      <c r="G14" s="142"/>
      <c r="H14" s="142"/>
      <c r="I14" s="414"/>
      <c r="J14" s="767"/>
    </row>
    <row r="15" spans="1:10">
      <c r="A15" s="138" t="s">
        <v>1136</v>
      </c>
      <c r="C15" s="150"/>
      <c r="D15" s="708">
        <f>SUM(D9:D13)</f>
        <v>0</v>
      </c>
      <c r="E15" s="761"/>
      <c r="F15" s="708">
        <f>SUM(F9:F13)</f>
        <v>0</v>
      </c>
      <c r="G15" s="586"/>
      <c r="H15" s="708">
        <f>SUM(H9:H13)</f>
        <v>0</v>
      </c>
      <c r="I15" s="586"/>
      <c r="J15" s="708">
        <f>SUM(J9:J13)</f>
        <v>0</v>
      </c>
    </row>
    <row r="16" spans="1:10">
      <c r="A16" s="138"/>
      <c r="C16" s="150"/>
      <c r="D16" s="417"/>
      <c r="E16" s="414"/>
      <c r="F16" s="142"/>
      <c r="G16" s="142"/>
      <c r="H16" s="142"/>
      <c r="I16" s="414"/>
      <c r="J16" s="417"/>
    </row>
    <row r="17" spans="1:11">
      <c r="A17" s="154" t="s">
        <v>17</v>
      </c>
      <c r="C17" s="150"/>
      <c r="D17" s="586">
        <v>0</v>
      </c>
      <c r="E17" s="586"/>
      <c r="F17" s="586">
        <v>0</v>
      </c>
      <c r="G17" s="586"/>
      <c r="H17" s="586">
        <f>SUM(D17:F17)</f>
        <v>0</v>
      </c>
      <c r="I17" s="414"/>
      <c r="J17" s="586">
        <f>SUM(D17:H17)</f>
        <v>0</v>
      </c>
    </row>
    <row r="18" spans="1:11">
      <c r="A18" s="138"/>
      <c r="C18" s="150"/>
      <c r="D18" s="417"/>
      <c r="E18" s="414"/>
      <c r="F18" s="142"/>
      <c r="G18" s="142"/>
      <c r="H18" s="142"/>
      <c r="I18" s="414"/>
      <c r="J18" s="417"/>
    </row>
    <row r="19" spans="1:11" ht="13.5" thickBot="1">
      <c r="A19" s="138" t="s">
        <v>24</v>
      </c>
      <c r="C19" s="150"/>
      <c r="D19" s="759">
        <f>D15+D17</f>
        <v>0</v>
      </c>
      <c r="E19" s="761"/>
      <c r="F19" s="759">
        <f>F15+F17</f>
        <v>0</v>
      </c>
      <c r="G19" s="761"/>
      <c r="H19" s="759">
        <f>H15+H17</f>
        <v>0</v>
      </c>
      <c r="I19" s="761"/>
      <c r="J19" s="759">
        <f>J15+J17</f>
        <v>0</v>
      </c>
    </row>
    <row r="20" spans="1:11" s="776" customFormat="1" ht="15" customHeight="1" thickTop="1">
      <c r="A20" s="777"/>
      <c r="B20" s="778"/>
      <c r="C20" s="779"/>
      <c r="D20" s="760"/>
      <c r="E20" s="779"/>
      <c r="F20" s="762"/>
      <c r="I20" s="780"/>
      <c r="J20" s="780"/>
      <c r="K20" s="780"/>
    </row>
    <row r="21" spans="1:11" s="776" customFormat="1" ht="15" customHeight="1">
      <c r="A21" s="777" t="s">
        <v>1139</v>
      </c>
      <c r="B21" s="778"/>
      <c r="C21" s="779"/>
      <c r="D21" s="586">
        <v>0</v>
      </c>
      <c r="E21" s="586"/>
      <c r="F21" s="586">
        <v>0</v>
      </c>
      <c r="G21" s="586"/>
      <c r="H21" s="586">
        <f>SUM(D21:F21)</f>
        <v>0</v>
      </c>
      <c r="I21" s="414"/>
      <c r="J21" s="586">
        <f>SUM(D21:H21)</f>
        <v>0</v>
      </c>
      <c r="K21" s="780"/>
    </row>
    <row r="22" spans="1:11" s="776" customFormat="1" ht="15" customHeight="1">
      <c r="A22" s="777"/>
      <c r="B22" s="778"/>
      <c r="C22" s="779"/>
      <c r="D22" s="760"/>
      <c r="E22" s="779"/>
      <c r="F22" s="762"/>
      <c r="I22" s="780"/>
      <c r="J22" s="780"/>
      <c r="K22" s="780"/>
    </row>
    <row r="23" spans="1:11" ht="13.5" thickBot="1">
      <c r="A23" s="777" t="s">
        <v>1140</v>
      </c>
      <c r="C23" s="417"/>
      <c r="D23" s="759">
        <f>D19+D21</f>
        <v>0</v>
      </c>
      <c r="E23" s="761"/>
      <c r="F23" s="759">
        <f>F19+F21</f>
        <v>0</v>
      </c>
      <c r="G23" s="761"/>
      <c r="H23" s="759">
        <f>H19+H21</f>
        <v>0</v>
      </c>
      <c r="I23" s="761"/>
      <c r="J23" s="759">
        <f>J19+J21</f>
        <v>0</v>
      </c>
    </row>
    <row r="24" spans="1:11" ht="13.5" thickTop="1">
      <c r="A24" s="777"/>
      <c r="C24" s="417"/>
      <c r="D24" s="414"/>
      <c r="E24" s="142"/>
      <c r="F24" s="142"/>
      <c r="G24" s="142"/>
      <c r="H24" s="414"/>
      <c r="I24" s="417"/>
      <c r="J24" s="149"/>
    </row>
    <row r="25" spans="1:11">
      <c r="A25" s="138" t="s">
        <v>25</v>
      </c>
      <c r="C25" s="150"/>
      <c r="D25" s="143"/>
      <c r="E25" s="414"/>
      <c r="F25" s="141"/>
      <c r="G25" s="142"/>
      <c r="H25" s="141"/>
      <c r="I25" s="138"/>
      <c r="J25" s="605"/>
    </row>
    <row r="26" spans="1:11">
      <c r="A26" s="138"/>
      <c r="C26" s="150"/>
      <c r="D26" s="143"/>
      <c r="E26" s="414"/>
      <c r="F26" s="141"/>
      <c r="G26" s="142"/>
      <c r="H26" s="141"/>
      <c r="I26" s="138"/>
      <c r="J26" s="605"/>
    </row>
    <row r="27" spans="1:11">
      <c r="A27" s="154" t="s">
        <v>26</v>
      </c>
      <c r="C27" s="150"/>
      <c r="D27" s="586">
        <v>0</v>
      </c>
      <c r="E27" s="586"/>
      <c r="F27" s="586">
        <v>0</v>
      </c>
      <c r="G27" s="586"/>
      <c r="H27" s="586">
        <f t="shared" ref="H27:H31" si="1">SUM(D27:F27)</f>
        <v>0</v>
      </c>
      <c r="I27" s="414"/>
      <c r="J27" s="586">
        <f t="shared" ref="J27:J31" si="2">SUM(D27:H27)</f>
        <v>0</v>
      </c>
    </row>
    <row r="28" spans="1:11">
      <c r="A28" s="154" t="s">
        <v>27</v>
      </c>
      <c r="C28" s="150"/>
      <c r="D28" s="586">
        <v>0</v>
      </c>
      <c r="E28" s="586"/>
      <c r="F28" s="586">
        <v>0</v>
      </c>
      <c r="G28" s="586"/>
      <c r="H28" s="586">
        <f t="shared" si="1"/>
        <v>0</v>
      </c>
      <c r="I28" s="414"/>
      <c r="J28" s="586">
        <f t="shared" si="2"/>
        <v>0</v>
      </c>
    </row>
    <row r="29" spans="1:11">
      <c r="A29" s="154" t="s">
        <v>28</v>
      </c>
      <c r="C29" s="150"/>
      <c r="D29" s="586">
        <v>0</v>
      </c>
      <c r="E29" s="586"/>
      <c r="F29" s="586">
        <v>0</v>
      </c>
      <c r="G29" s="586"/>
      <c r="H29" s="586">
        <f t="shared" si="1"/>
        <v>0</v>
      </c>
      <c r="I29" s="414"/>
      <c r="J29" s="586">
        <f t="shared" si="2"/>
        <v>0</v>
      </c>
    </row>
    <row r="30" spans="1:11">
      <c r="A30" s="154" t="s">
        <v>29</v>
      </c>
      <c r="C30" s="150"/>
      <c r="D30" s="586">
        <v>0</v>
      </c>
      <c r="E30" s="586"/>
      <c r="F30" s="586">
        <v>0</v>
      </c>
      <c r="G30" s="586"/>
      <c r="H30" s="586">
        <f t="shared" si="1"/>
        <v>0</v>
      </c>
      <c r="I30" s="414"/>
      <c r="J30" s="586">
        <f t="shared" si="2"/>
        <v>0</v>
      </c>
    </row>
    <row r="31" spans="1:11">
      <c r="A31" s="154" t="s">
        <v>30</v>
      </c>
      <c r="C31" s="150"/>
      <c r="D31" s="586">
        <v>0</v>
      </c>
      <c r="E31" s="586"/>
      <c r="F31" s="586">
        <v>0</v>
      </c>
      <c r="G31" s="586"/>
      <c r="H31" s="586">
        <f t="shared" si="1"/>
        <v>0</v>
      </c>
      <c r="I31" s="414"/>
      <c r="J31" s="586">
        <f t="shared" si="2"/>
        <v>0</v>
      </c>
    </row>
    <row r="32" spans="1:11">
      <c r="A32" s="154"/>
      <c r="C32" s="150"/>
      <c r="D32" s="143"/>
      <c r="E32" s="414"/>
      <c r="F32" s="141"/>
      <c r="G32" s="142"/>
      <c r="H32" s="141"/>
      <c r="I32" s="138"/>
      <c r="J32" s="417"/>
    </row>
    <row r="33" spans="1:10" ht="13.5" thickBot="1">
      <c r="A33" s="138" t="s">
        <v>31</v>
      </c>
      <c r="C33" s="150"/>
      <c r="D33" s="759">
        <f>SUM(D27:D31)</f>
        <v>0</v>
      </c>
      <c r="E33" s="761"/>
      <c r="F33" s="759">
        <f>SUM(F27:F31)</f>
        <v>0</v>
      </c>
      <c r="G33" s="761"/>
      <c r="H33" s="759">
        <f>SUM(H27:H31)</f>
        <v>0</v>
      </c>
      <c r="I33" s="761"/>
      <c r="J33" s="759">
        <f>SUM(J27:J31)</f>
        <v>0</v>
      </c>
    </row>
    <row r="34" spans="1:10" ht="13.5" thickTop="1">
      <c r="A34" s="154"/>
      <c r="C34" s="150"/>
      <c r="D34" s="143"/>
      <c r="E34" s="414"/>
      <c r="F34" s="141"/>
      <c r="G34" s="142"/>
      <c r="H34" s="141"/>
      <c r="I34" s="138"/>
      <c r="J34" s="143"/>
    </row>
    <row r="35" spans="1:10">
      <c r="A35" s="154" t="s">
        <v>33</v>
      </c>
      <c r="C35" s="150"/>
      <c r="D35" s="586">
        <v>0</v>
      </c>
      <c r="E35" s="586"/>
      <c r="F35" s="586">
        <v>0</v>
      </c>
      <c r="G35" s="586"/>
      <c r="H35" s="586">
        <f t="shared" ref="H35:H38" si="3">SUM(D35:F35)</f>
        <v>0</v>
      </c>
      <c r="I35" s="414"/>
      <c r="J35" s="586">
        <f t="shared" ref="J35:J38" si="4">SUM(D35:H35)</f>
        <v>0</v>
      </c>
    </row>
    <row r="36" spans="1:10">
      <c r="A36" s="154" t="s">
        <v>1134</v>
      </c>
      <c r="C36" s="150"/>
      <c r="D36" s="586">
        <v>0</v>
      </c>
      <c r="E36" s="586"/>
      <c r="F36" s="586">
        <v>0</v>
      </c>
      <c r="G36" s="586"/>
      <c r="H36" s="586">
        <f t="shared" si="3"/>
        <v>0</v>
      </c>
      <c r="I36" s="414"/>
      <c r="J36" s="586">
        <f t="shared" si="4"/>
        <v>0</v>
      </c>
    </row>
    <row r="37" spans="1:10">
      <c r="A37" s="154" t="s">
        <v>35</v>
      </c>
      <c r="C37" s="150"/>
      <c r="D37" s="586">
        <v>0</v>
      </c>
      <c r="E37" s="586"/>
      <c r="F37" s="586">
        <v>0</v>
      </c>
      <c r="G37" s="586"/>
      <c r="H37" s="586">
        <f t="shared" si="3"/>
        <v>0</v>
      </c>
      <c r="I37" s="414"/>
      <c r="J37" s="586">
        <f t="shared" si="4"/>
        <v>0</v>
      </c>
    </row>
    <row r="38" spans="1:10">
      <c r="A38" s="154" t="s">
        <v>36</v>
      </c>
      <c r="C38" s="150"/>
      <c r="D38" s="586">
        <v>0</v>
      </c>
      <c r="E38" s="586"/>
      <c r="F38" s="586">
        <v>0</v>
      </c>
      <c r="G38" s="586"/>
      <c r="H38" s="586">
        <f t="shared" si="3"/>
        <v>0</v>
      </c>
      <c r="I38" s="414"/>
      <c r="J38" s="586">
        <f t="shared" si="4"/>
        <v>0</v>
      </c>
    </row>
    <row r="39" spans="1:10">
      <c r="A39" s="154"/>
      <c r="C39" s="150"/>
      <c r="D39" s="767"/>
      <c r="E39" s="414"/>
      <c r="F39" s="581"/>
      <c r="G39" s="142"/>
      <c r="H39" s="581"/>
      <c r="I39" s="414"/>
      <c r="J39" s="767"/>
    </row>
    <row r="40" spans="1:10">
      <c r="A40" s="138" t="s">
        <v>917</v>
      </c>
      <c r="C40" s="150"/>
      <c r="D40" s="708">
        <f>D23-D33+SUM(D35:D38)</f>
        <v>0</v>
      </c>
      <c r="E40" s="761"/>
      <c r="F40" s="708">
        <f>F23-F33+SUM(F35:F38)</f>
        <v>0</v>
      </c>
      <c r="G40" s="586"/>
      <c r="H40" s="708">
        <f>H23-H33+SUM(H35:H38)</f>
        <v>0</v>
      </c>
      <c r="I40" s="586"/>
      <c r="J40" s="708">
        <f>J23-J33+SUM(J35:J38)</f>
        <v>0</v>
      </c>
    </row>
    <row r="41" spans="1:10">
      <c r="A41" s="138"/>
      <c r="C41" s="150"/>
      <c r="D41" s="605"/>
      <c r="E41" s="586"/>
      <c r="F41" s="586"/>
      <c r="G41" s="586"/>
      <c r="H41" s="586"/>
      <c r="I41" s="586"/>
      <c r="J41" s="605"/>
    </row>
    <row r="42" spans="1:10">
      <c r="A42" s="154" t="s">
        <v>38</v>
      </c>
      <c r="C42" s="150"/>
      <c r="D42" s="586">
        <v>0</v>
      </c>
      <c r="E42" s="586"/>
      <c r="F42" s="586">
        <v>0</v>
      </c>
      <c r="G42" s="586"/>
      <c r="H42" s="586">
        <f t="shared" ref="H42" si="5">SUM(D42:F42)</f>
        <v>0</v>
      </c>
      <c r="I42" s="414"/>
      <c r="J42" s="586">
        <f t="shared" ref="J42" si="6">SUM(D42:H42)</f>
        <v>0</v>
      </c>
    </row>
    <row r="43" spans="1:10">
      <c r="A43" s="154"/>
      <c r="C43" s="150"/>
      <c r="D43" s="767"/>
      <c r="E43" s="588"/>
      <c r="F43" s="581"/>
      <c r="G43" s="142"/>
      <c r="H43" s="581"/>
      <c r="I43" s="588"/>
      <c r="J43" s="767"/>
    </row>
    <row r="44" spans="1:10">
      <c r="A44" s="138" t="s">
        <v>918</v>
      </c>
      <c r="C44" s="150"/>
      <c r="D44" s="708">
        <f>D40+D42</f>
        <v>0</v>
      </c>
      <c r="E44" s="414"/>
      <c r="F44" s="708">
        <f>F40+F42</f>
        <v>0</v>
      </c>
      <c r="G44" s="142"/>
      <c r="H44" s="708">
        <f>H40+H42</f>
        <v>0</v>
      </c>
      <c r="I44" s="414"/>
      <c r="J44" s="708">
        <f>J40+J42</f>
        <v>0</v>
      </c>
    </row>
    <row r="45" spans="1:10">
      <c r="A45" s="138"/>
      <c r="C45" s="150"/>
      <c r="D45" s="417"/>
      <c r="E45" s="588"/>
      <c r="F45" s="142"/>
      <c r="G45" s="142"/>
      <c r="H45" s="142"/>
      <c r="I45" s="588"/>
      <c r="J45" s="417"/>
    </row>
    <row r="46" spans="1:10">
      <c r="A46" s="154" t="s">
        <v>63</v>
      </c>
      <c r="C46" s="150"/>
      <c r="D46" s="586">
        <v>0</v>
      </c>
      <c r="E46" s="586"/>
      <c r="F46" s="586">
        <v>0</v>
      </c>
      <c r="G46" s="586"/>
      <c r="H46" s="586">
        <f t="shared" ref="H46" si="7">SUM(D46:F46)</f>
        <v>0</v>
      </c>
      <c r="I46" s="414"/>
      <c r="J46" s="586">
        <f t="shared" ref="J46" si="8">SUM(D46:H46)</f>
        <v>0</v>
      </c>
    </row>
    <row r="47" spans="1:10">
      <c r="A47" s="154"/>
      <c r="C47" s="150"/>
      <c r="D47" s="767"/>
      <c r="E47" s="588"/>
      <c r="F47" s="581"/>
      <c r="G47" s="142"/>
      <c r="H47" s="581"/>
      <c r="I47" s="588"/>
      <c r="J47" s="767"/>
    </row>
    <row r="48" spans="1:10">
      <c r="A48" s="138" t="s">
        <v>104</v>
      </c>
      <c r="C48" s="150"/>
      <c r="D48" s="708">
        <f>D44+D46</f>
        <v>0</v>
      </c>
      <c r="E48" s="414"/>
      <c r="F48" s="708">
        <f>F44+F46</f>
        <v>0</v>
      </c>
      <c r="G48" s="142"/>
      <c r="H48" s="708">
        <f>H44+H46</f>
        <v>0</v>
      </c>
      <c r="I48" s="414"/>
      <c r="J48" s="708">
        <f>J44+J46</f>
        <v>0</v>
      </c>
    </row>
    <row r="49" spans="1:10">
      <c r="A49" s="154" t="s">
        <v>362</v>
      </c>
      <c r="C49" s="150"/>
      <c r="D49" s="417"/>
      <c r="E49" s="414"/>
      <c r="F49" s="142"/>
      <c r="G49" s="142"/>
      <c r="H49" s="142"/>
      <c r="I49" s="414"/>
      <c r="J49" s="417"/>
    </row>
    <row r="50" spans="1:10">
      <c r="A50" s="151" t="s">
        <v>40</v>
      </c>
      <c r="C50" s="150"/>
      <c r="D50" s="586">
        <v>0</v>
      </c>
      <c r="E50" s="586"/>
      <c r="F50" s="586">
        <v>0</v>
      </c>
      <c r="G50" s="586"/>
      <c r="H50" s="586">
        <f t="shared" ref="H50:H52" si="9">SUM(D50:F50)</f>
        <v>0</v>
      </c>
      <c r="I50" s="414"/>
      <c r="J50" s="586">
        <f t="shared" ref="J50:J52" si="10">SUM(D50:H50)</f>
        <v>0</v>
      </c>
    </row>
    <row r="51" spans="1:10">
      <c r="A51" s="151" t="s">
        <v>41</v>
      </c>
      <c r="C51" s="150"/>
      <c r="D51" s="586">
        <v>0</v>
      </c>
      <c r="E51" s="586"/>
      <c r="F51" s="586">
        <v>0</v>
      </c>
      <c r="G51" s="586"/>
      <c r="H51" s="586">
        <f t="shared" si="9"/>
        <v>0</v>
      </c>
      <c r="I51" s="414"/>
      <c r="J51" s="586">
        <f t="shared" si="10"/>
        <v>0</v>
      </c>
    </row>
    <row r="52" spans="1:10">
      <c r="A52" s="151" t="s">
        <v>42</v>
      </c>
      <c r="C52" s="150"/>
      <c r="D52" s="586">
        <v>0</v>
      </c>
      <c r="E52" s="586"/>
      <c r="F52" s="586">
        <v>0</v>
      </c>
      <c r="G52" s="586"/>
      <c r="H52" s="586">
        <f t="shared" si="9"/>
        <v>0</v>
      </c>
      <c r="I52" s="414"/>
      <c r="J52" s="586">
        <f t="shared" si="10"/>
        <v>0</v>
      </c>
    </row>
    <row r="53" spans="1:10">
      <c r="A53" s="154"/>
      <c r="C53" s="150"/>
      <c r="D53" s="417"/>
      <c r="E53" s="414"/>
      <c r="F53" s="142"/>
      <c r="G53" s="142"/>
      <c r="H53" s="142"/>
      <c r="I53" s="414"/>
      <c r="J53" s="417"/>
    </row>
    <row r="54" spans="1:10" ht="13.5" thickBot="1">
      <c r="A54" s="138" t="s">
        <v>43</v>
      </c>
      <c r="C54" s="150"/>
      <c r="D54" s="759">
        <f>SUM(D48:D52)</f>
        <v>0</v>
      </c>
      <c r="E54" s="761"/>
      <c r="F54" s="759">
        <f>SUM(F48:F52)</f>
        <v>0</v>
      </c>
      <c r="G54" s="761"/>
      <c r="H54" s="759">
        <f>SUM(H48:H52)</f>
        <v>0</v>
      </c>
      <c r="I54" s="761"/>
      <c r="J54" s="759">
        <f>SUM(J48:J52)</f>
        <v>0</v>
      </c>
    </row>
    <row r="55" spans="1:10" ht="13.5" thickTop="1">
      <c r="A55" s="154"/>
      <c r="C55" s="150"/>
      <c r="D55" s="417"/>
      <c r="E55" s="414"/>
      <c r="F55" s="142"/>
      <c r="G55" s="142"/>
      <c r="H55" s="142"/>
      <c r="I55" s="414"/>
      <c r="J55" s="417"/>
    </row>
    <row r="56" spans="1:10">
      <c r="A56" s="495" t="s">
        <v>1189</v>
      </c>
      <c r="B56" s="150"/>
      <c r="C56" s="150"/>
      <c r="D56" s="768"/>
      <c r="E56" s="505"/>
      <c r="F56" s="162"/>
      <c r="G56" s="652"/>
      <c r="H56" s="162"/>
      <c r="I56" s="150"/>
      <c r="J56" s="768"/>
    </row>
    <row r="57" spans="1:10">
      <c r="A57" s="495" t="s">
        <v>1190</v>
      </c>
      <c r="B57" s="150"/>
      <c r="C57" s="150"/>
      <c r="D57" s="768"/>
      <c r="E57" s="505"/>
      <c r="F57" s="162"/>
      <c r="G57" s="652"/>
      <c r="H57" s="162"/>
      <c r="I57" s="150"/>
      <c r="J57" s="768"/>
    </row>
    <row r="58" spans="1:10">
      <c r="A58" s="495" t="s">
        <v>1191</v>
      </c>
      <c r="B58" s="150"/>
      <c r="C58" s="150"/>
      <c r="D58" s="768"/>
      <c r="E58" s="505"/>
      <c r="F58" s="162"/>
      <c r="G58" s="652"/>
      <c r="H58" s="162"/>
      <c r="I58" s="150"/>
      <c r="J58" s="768"/>
    </row>
    <row r="59" spans="1:10">
      <c r="A59" s="495"/>
      <c r="B59" s="150"/>
      <c r="C59" s="150"/>
      <c r="D59" s="768"/>
      <c r="E59" s="505"/>
      <c r="F59" s="162"/>
      <c r="G59" s="652"/>
      <c r="H59" s="162"/>
      <c r="I59" s="150"/>
      <c r="J59" s="768"/>
    </row>
    <row r="60" spans="1:10">
      <c r="A60" s="543" t="s">
        <v>919</v>
      </c>
      <c r="B60" s="150"/>
      <c r="C60" s="150"/>
      <c r="D60" s="768"/>
      <c r="E60" s="497"/>
      <c r="F60" s="772"/>
      <c r="G60" s="773"/>
      <c r="H60" s="772"/>
      <c r="I60" s="593"/>
      <c r="J60" s="768"/>
    </row>
    <row r="61" spans="1:10">
      <c r="A61" s="495"/>
      <c r="B61" s="150"/>
      <c r="C61" s="150"/>
      <c r="D61" s="768"/>
      <c r="E61" s="497"/>
      <c r="F61" s="772"/>
      <c r="G61" s="773"/>
      <c r="H61" s="772"/>
      <c r="I61" s="593"/>
      <c r="J61" s="768"/>
    </row>
    <row r="62" spans="1:10">
      <c r="A62" s="150" t="s">
        <v>920</v>
      </c>
      <c r="B62" s="150"/>
      <c r="C62" s="150"/>
      <c r="D62" s="768"/>
      <c r="E62" s="497"/>
      <c r="F62" s="772"/>
      <c r="G62" s="773"/>
      <c r="H62" s="772"/>
      <c r="I62" s="593"/>
      <c r="J62" s="768"/>
    </row>
  </sheetData>
  <pageMargins left="0.70866141732283472" right="0.70866141732283472" top="0.74803149606299213" bottom="0.74803149606299213" header="0.31496062992125984" footer="0.31496062992125984"/>
  <pageSetup paperSize="9" scale="71" orientation="portrait"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1"/>
  <sheetViews>
    <sheetView view="pageBreakPreview" topLeftCell="A31" zoomScaleNormal="100" zoomScaleSheetLayoutView="100" zoomScalePageLayoutView="95" workbookViewId="0">
      <selection activeCell="M50" sqref="M50"/>
    </sheetView>
  </sheetViews>
  <sheetFormatPr defaultColWidth="11.42578125" defaultRowHeight="12.75"/>
  <cols>
    <col min="1" max="2" width="2.85546875" style="601" customWidth="1"/>
    <col min="3" max="3" width="2.42578125" style="601" customWidth="1"/>
    <col min="4" max="4" width="8.42578125" style="601" customWidth="1"/>
    <col min="5" max="7" width="4.42578125" style="601" customWidth="1"/>
    <col min="8" max="8" width="31.85546875" style="601" customWidth="1"/>
    <col min="9" max="9" width="5.5703125" style="619" customWidth="1"/>
    <col min="10" max="10" width="2.85546875" style="601" customWidth="1"/>
    <col min="11" max="11" width="11.42578125" style="602" customWidth="1"/>
    <col min="12" max="12" width="2.85546875" style="602" customWidth="1"/>
    <col min="13" max="13" width="11.42578125" style="602" customWidth="1"/>
    <col min="14" max="14" width="2.85546875" style="601" customWidth="1"/>
    <col min="15" max="15" width="11.42578125" style="601" customWidth="1"/>
    <col min="16" max="16" width="2.85546875" style="601" customWidth="1"/>
    <col min="17" max="17" width="11.42578125" style="601" customWidth="1"/>
    <col min="18" max="18" width="2.42578125" style="601" customWidth="1"/>
    <col min="19" max="19" width="5.42578125" style="601" bestFit="1" customWidth="1"/>
    <col min="20" max="20" width="0.85546875" style="601" customWidth="1"/>
    <col min="21" max="21" width="5.140625" style="601" customWidth="1"/>
    <col min="22" max="22" width="0.85546875" style="601" customWidth="1"/>
    <col min="23" max="23" width="11.7109375" style="601" customWidth="1"/>
    <col min="24" max="24" width="1" style="601" customWidth="1"/>
    <col min="25" max="25" width="6.42578125" style="601" customWidth="1"/>
    <col min="26" max="247" width="5.7109375" style="601" customWidth="1"/>
    <col min="248" max="16384" width="11.42578125" style="601"/>
  </cols>
  <sheetData>
    <row r="1" spans="1:25" s="154" customFormat="1" ht="30" customHeight="1">
      <c r="A1" s="803" t="s">
        <v>1132</v>
      </c>
      <c r="B1" s="804"/>
      <c r="C1" s="804"/>
      <c r="D1" s="804"/>
      <c r="E1" s="804"/>
      <c r="F1" s="804"/>
      <c r="G1" s="804"/>
      <c r="H1" s="804"/>
      <c r="I1" s="804"/>
      <c r="J1" s="804"/>
      <c r="K1" s="804"/>
      <c r="L1" s="804"/>
      <c r="M1" s="804"/>
      <c r="N1" s="804"/>
      <c r="O1" s="804"/>
      <c r="P1" s="804"/>
      <c r="Q1" s="804"/>
      <c r="W1" s="154" t="s">
        <v>362</v>
      </c>
      <c r="X1" s="154" t="s">
        <v>362</v>
      </c>
    </row>
    <row r="2" spans="1:25" s="154" customFormat="1" ht="19.5" customHeight="1">
      <c r="A2" s="618"/>
      <c r="B2" s="601"/>
      <c r="I2" s="141"/>
      <c r="K2" s="138"/>
      <c r="L2" s="138"/>
      <c r="M2" s="138"/>
    </row>
    <row r="3" spans="1:25" s="154" customFormat="1" ht="15" customHeight="1" thickBot="1">
      <c r="A3" s="136"/>
      <c r="B3" s="144"/>
      <c r="C3" s="144"/>
      <c r="D3" s="144"/>
      <c r="E3" s="144"/>
      <c r="F3" s="144"/>
      <c r="G3" s="144"/>
      <c r="H3" s="144"/>
      <c r="I3" s="637"/>
      <c r="J3" s="144"/>
      <c r="K3" s="137"/>
      <c r="L3" s="137"/>
      <c r="M3" s="137"/>
      <c r="N3" s="144"/>
      <c r="O3" s="144"/>
      <c r="P3" s="144"/>
      <c r="Q3" s="144"/>
    </row>
    <row r="4" spans="1:25" s="604" customFormat="1" ht="15" customHeight="1">
      <c r="A4" s="154"/>
      <c r="B4" s="154"/>
      <c r="C4" s="154"/>
      <c r="D4" s="154"/>
      <c r="E4" s="154"/>
      <c r="F4" s="154"/>
      <c r="G4" s="154"/>
      <c r="H4" s="154"/>
      <c r="I4" s="154"/>
      <c r="J4" s="154"/>
      <c r="K4" s="584"/>
      <c r="L4" s="584" t="s">
        <v>101</v>
      </c>
      <c r="M4" s="584"/>
      <c r="N4" s="154"/>
      <c r="O4" s="588"/>
      <c r="P4" s="585" t="s">
        <v>102</v>
      </c>
      <c r="Q4" s="585"/>
      <c r="R4" s="154"/>
      <c r="S4" s="636"/>
      <c r="T4" s="154"/>
      <c r="U4" s="154"/>
      <c r="V4" s="154"/>
    </row>
    <row r="5" spans="1:25" s="604" customFormat="1" ht="15" customHeight="1">
      <c r="A5" s="154"/>
      <c r="B5" s="154"/>
      <c r="C5" s="154"/>
      <c r="D5" s="154"/>
      <c r="E5" s="154"/>
      <c r="F5" s="154"/>
      <c r="G5" s="154"/>
      <c r="H5" s="154"/>
      <c r="I5" s="141" t="s">
        <v>20</v>
      </c>
      <c r="J5" s="154"/>
      <c r="K5" s="143" t="s">
        <v>21</v>
      </c>
      <c r="L5" s="143"/>
      <c r="M5" s="143" t="s">
        <v>22</v>
      </c>
      <c r="N5" s="154"/>
      <c r="O5" s="142" t="s">
        <v>21</v>
      </c>
      <c r="P5" s="142"/>
      <c r="Q5" s="142" t="s">
        <v>22</v>
      </c>
      <c r="R5" s="141"/>
      <c r="S5" s="154"/>
      <c r="T5" s="154"/>
      <c r="U5" s="154"/>
      <c r="V5" s="154"/>
    </row>
    <row r="6" spans="1:25" s="621" customFormat="1" ht="15" customHeight="1">
      <c r="A6" s="141"/>
      <c r="B6" s="141"/>
      <c r="C6" s="141"/>
      <c r="D6" s="141"/>
      <c r="E6" s="141"/>
      <c r="F6" s="141"/>
      <c r="G6" s="141"/>
      <c r="H6" s="141"/>
      <c r="I6" s="141"/>
      <c r="J6" s="154"/>
      <c r="K6" s="143" t="s">
        <v>23</v>
      </c>
      <c r="L6" s="143"/>
      <c r="M6" s="143" t="s">
        <v>23</v>
      </c>
      <c r="N6" s="141"/>
      <c r="O6" s="142" t="s">
        <v>23</v>
      </c>
      <c r="P6" s="142"/>
      <c r="Q6" s="142" t="s">
        <v>23</v>
      </c>
      <c r="R6" s="154"/>
      <c r="S6" s="141"/>
      <c r="T6" s="141"/>
      <c r="U6" s="141"/>
      <c r="V6" s="141"/>
    </row>
    <row r="7" spans="1:25" s="621" customFormat="1" ht="15" customHeight="1">
      <c r="A7" s="141"/>
      <c r="B7" s="138" t="s">
        <v>69</v>
      </c>
      <c r="C7" s="141"/>
      <c r="D7" s="141"/>
      <c r="E7" s="141"/>
      <c r="F7" s="141"/>
      <c r="G7" s="141"/>
      <c r="H7" s="141"/>
      <c r="I7" s="141"/>
      <c r="J7" s="154"/>
      <c r="K7" s="584"/>
      <c r="L7" s="143"/>
      <c r="M7" s="143"/>
      <c r="N7" s="154"/>
      <c r="O7" s="585"/>
      <c r="P7" s="142"/>
      <c r="Q7" s="142"/>
      <c r="R7" s="154"/>
      <c r="S7" s="141"/>
      <c r="T7" s="141"/>
      <c r="U7" s="141"/>
      <c r="V7" s="141"/>
    </row>
    <row r="8" spans="1:25" s="604" customFormat="1" ht="15" customHeight="1">
      <c r="A8" s="154"/>
      <c r="B8" s="154" t="s">
        <v>1207</v>
      </c>
      <c r="C8" s="154"/>
      <c r="D8" s="154"/>
      <c r="E8" s="154"/>
      <c r="F8" s="154"/>
      <c r="G8" s="154"/>
      <c r="H8" s="154"/>
      <c r="I8" s="141">
        <v>11</v>
      </c>
      <c r="J8" s="154"/>
      <c r="K8" s="414">
        <f>'Notes 8 -11'!E72</f>
        <v>8</v>
      </c>
      <c r="L8" s="414"/>
      <c r="M8" s="414">
        <f>'Notes 8 -11'!G72</f>
        <v>8</v>
      </c>
      <c r="N8" s="588"/>
      <c r="O8" s="586">
        <v>0</v>
      </c>
      <c r="P8" s="586"/>
      <c r="Q8" s="586">
        <v>0</v>
      </c>
      <c r="R8" s="154"/>
      <c r="S8" s="154"/>
      <c r="T8" s="154"/>
      <c r="U8" s="154"/>
      <c r="V8" s="154"/>
    </row>
    <row r="9" spans="1:25" s="604" customFormat="1" ht="15" customHeight="1">
      <c r="A9" s="154"/>
      <c r="B9" s="154" t="s">
        <v>994</v>
      </c>
      <c r="C9" s="154"/>
      <c r="D9" s="154"/>
      <c r="E9" s="154"/>
      <c r="F9" s="154"/>
      <c r="G9" s="154"/>
      <c r="H9" s="154"/>
      <c r="I9" s="141">
        <v>11</v>
      </c>
      <c r="J9" s="154"/>
      <c r="K9" s="586">
        <v>0</v>
      </c>
      <c r="L9" s="586"/>
      <c r="M9" s="586">
        <v>0</v>
      </c>
      <c r="N9" s="588"/>
      <c r="O9" s="586">
        <v>0</v>
      </c>
      <c r="P9" s="586"/>
      <c r="Q9" s="586">
        <v>0</v>
      </c>
      <c r="R9" s="154"/>
      <c r="S9" s="154"/>
      <c r="T9" s="154"/>
      <c r="U9" s="154"/>
      <c r="V9" s="154"/>
    </row>
    <row r="10" spans="1:25" s="604" customFormat="1" ht="15" customHeight="1">
      <c r="A10" s="154"/>
      <c r="B10" s="154" t="s">
        <v>71</v>
      </c>
      <c r="C10" s="138"/>
      <c r="D10" s="140"/>
      <c r="E10" s="139"/>
      <c r="F10" s="139"/>
      <c r="G10" s="154"/>
      <c r="H10" s="154"/>
      <c r="I10" s="141">
        <v>15</v>
      </c>
      <c r="J10" s="139"/>
      <c r="K10" s="414">
        <f>-'Note 15-16'!L17</f>
        <v>-3297</v>
      </c>
      <c r="L10" s="629"/>
      <c r="M10" s="414">
        <f>-'Note 15-16'!L17</f>
        <v>-3297</v>
      </c>
      <c r="N10" s="585"/>
      <c r="O10" s="588">
        <f>-'Note 15-16'!L19</f>
        <v>-3431</v>
      </c>
      <c r="P10" s="628"/>
      <c r="Q10" s="588">
        <f>-'Note 15-16'!L19</f>
        <v>-3431</v>
      </c>
      <c r="R10" s="601"/>
      <c r="S10" s="601"/>
      <c r="T10" s="601"/>
      <c r="U10" s="601"/>
      <c r="V10" s="601"/>
      <c r="W10" s="601"/>
      <c r="X10" s="601"/>
      <c r="Y10" s="601"/>
    </row>
    <row r="11" spans="1:25" s="604" customFormat="1" ht="15" customHeight="1">
      <c r="A11" s="154"/>
      <c r="B11" s="154"/>
      <c r="C11" s="154" t="s">
        <v>995</v>
      </c>
      <c r="D11" s="140"/>
      <c r="E11" s="139"/>
      <c r="F11" s="139"/>
      <c r="G11" s="154"/>
      <c r="H11" s="154"/>
      <c r="I11" s="141"/>
      <c r="J11" s="139"/>
      <c r="K11" s="731">
        <f>K9+K10</f>
        <v>-3297</v>
      </c>
      <c r="L11" s="629"/>
      <c r="M11" s="731">
        <f>M9+M10</f>
        <v>-3297</v>
      </c>
      <c r="N11" s="585"/>
      <c r="O11" s="732">
        <f>O9+O10</f>
        <v>-3431</v>
      </c>
      <c r="P11" s="628"/>
      <c r="Q11" s="732">
        <f>Q9+Q10</f>
        <v>-3431</v>
      </c>
      <c r="R11" s="601"/>
      <c r="S11" s="601"/>
      <c r="T11" s="601"/>
      <c r="U11" s="601"/>
      <c r="V11" s="601"/>
      <c r="W11" s="601"/>
      <c r="X11" s="601"/>
      <c r="Y11" s="601"/>
    </row>
    <row r="12" spans="1:25" s="604" customFormat="1" ht="15" customHeight="1">
      <c r="A12" s="154"/>
      <c r="B12" s="154" t="s">
        <v>72</v>
      </c>
      <c r="C12" s="138"/>
      <c r="D12" s="140"/>
      <c r="E12" s="139"/>
      <c r="F12" s="139"/>
      <c r="G12" s="154"/>
      <c r="H12" s="154"/>
      <c r="I12" s="141">
        <v>12</v>
      </c>
      <c r="J12" s="139"/>
      <c r="K12" s="414">
        <f>'Note 12'!R30-'Note 12'!P30</f>
        <v>227310</v>
      </c>
      <c r="L12" s="140"/>
      <c r="M12" s="414">
        <f>'Note 12'!R54-'Note 12'!P54</f>
        <v>218047</v>
      </c>
      <c r="N12" s="613"/>
      <c r="O12" s="588">
        <f>'Note 12'!R32-'Note 12'!P32</f>
        <v>199458</v>
      </c>
      <c r="P12" s="628"/>
      <c r="Q12" s="588">
        <f>'Note 12'!R56-'Note 12'!P56</f>
        <v>196064</v>
      </c>
      <c r="R12" s="601"/>
      <c r="S12" s="601"/>
      <c r="T12" s="601"/>
      <c r="U12" s="601"/>
      <c r="V12" s="601"/>
      <c r="W12" s="601"/>
      <c r="X12" s="601"/>
      <c r="Y12" s="601"/>
    </row>
    <row r="13" spans="1:25" s="604" customFormat="1" ht="15" customHeight="1">
      <c r="A13" s="154"/>
      <c r="B13" s="154" t="s">
        <v>73</v>
      </c>
      <c r="C13" s="138"/>
      <c r="D13" s="140"/>
      <c r="E13" s="139"/>
      <c r="F13" s="139"/>
      <c r="G13" s="154"/>
      <c r="H13" s="154"/>
      <c r="I13" s="607" t="s">
        <v>1010</v>
      </c>
      <c r="J13" s="139"/>
      <c r="K13" s="414">
        <f>'Note 12'!P30</f>
        <v>1500</v>
      </c>
      <c r="L13" s="140"/>
      <c r="M13" s="414">
        <f>'Note 12'!P54</f>
        <v>1500</v>
      </c>
      <c r="N13" s="613"/>
      <c r="O13" s="588">
        <f>'Note 12'!P32</f>
        <v>1300</v>
      </c>
      <c r="P13" s="628"/>
      <c r="Q13" s="588">
        <f>'Note 12'!P56</f>
        <v>1300</v>
      </c>
      <c r="R13" s="601"/>
      <c r="S13" s="601"/>
      <c r="T13" s="601"/>
      <c r="U13" s="601"/>
      <c r="V13" s="601"/>
      <c r="W13" s="601"/>
      <c r="X13" s="601"/>
      <c r="Y13" s="601"/>
    </row>
    <row r="14" spans="1:25" s="604" customFormat="1" ht="15" customHeight="1">
      <c r="A14" s="154"/>
      <c r="B14" s="154" t="s">
        <v>74</v>
      </c>
      <c r="C14" s="138"/>
      <c r="D14" s="140"/>
      <c r="E14" s="139"/>
      <c r="F14" s="139"/>
      <c r="G14" s="154"/>
      <c r="H14" s="154"/>
      <c r="I14" s="141">
        <v>16</v>
      </c>
      <c r="J14" s="139"/>
      <c r="K14" s="414">
        <f>'Note 15-16'!L34</f>
        <v>277</v>
      </c>
      <c r="L14" s="140"/>
      <c r="M14" s="414">
        <f>'Note 15-16'!L45</f>
        <v>8727</v>
      </c>
      <c r="N14" s="613"/>
      <c r="O14" s="588">
        <f>'Note 15-16'!L28</f>
        <v>323</v>
      </c>
      <c r="P14" s="628"/>
      <c r="Q14" s="588">
        <f>'Note 15-16'!L39</f>
        <v>727</v>
      </c>
      <c r="R14" s="601"/>
      <c r="S14" s="601"/>
      <c r="T14" s="601"/>
      <c r="U14" s="601"/>
      <c r="V14" s="601"/>
      <c r="W14" s="601"/>
      <c r="X14" s="601"/>
      <c r="Y14" s="601"/>
    </row>
    <row r="15" spans="1:25" s="604" customFormat="1" ht="15" customHeight="1">
      <c r="A15" s="154"/>
      <c r="B15" s="154" t="s">
        <v>75</v>
      </c>
      <c r="C15" s="138"/>
      <c r="D15" s="140"/>
      <c r="E15" s="139"/>
      <c r="F15" s="139"/>
      <c r="G15" s="154"/>
      <c r="H15" s="154"/>
      <c r="I15" s="141">
        <v>17</v>
      </c>
      <c r="J15" s="139"/>
      <c r="K15" s="414">
        <f>'Notes 17-18'!N30</f>
        <v>1259</v>
      </c>
      <c r="L15" s="140"/>
      <c r="M15" s="586">
        <v>0</v>
      </c>
      <c r="N15" s="613"/>
      <c r="O15" s="588">
        <f>'Notes 17-18'!S30</f>
        <v>1470</v>
      </c>
      <c r="P15" s="628"/>
      <c r="Q15" s="586">
        <v>0</v>
      </c>
      <c r="R15" s="601"/>
      <c r="S15" s="601"/>
      <c r="T15" s="601"/>
      <c r="U15" s="601"/>
      <c r="V15" s="601"/>
      <c r="W15" s="601"/>
      <c r="X15" s="601"/>
      <c r="Y15" s="601"/>
    </row>
    <row r="16" spans="1:25" s="604" customFormat="1" ht="15" customHeight="1">
      <c r="A16" s="154"/>
      <c r="B16" s="154" t="s">
        <v>76</v>
      </c>
      <c r="C16" s="154"/>
      <c r="D16" s="140"/>
      <c r="E16" s="139"/>
      <c r="F16" s="139"/>
      <c r="G16" s="154"/>
      <c r="H16" s="154"/>
      <c r="I16" s="141">
        <v>18</v>
      </c>
      <c r="J16" s="139"/>
      <c r="K16" s="586">
        <v>0</v>
      </c>
      <c r="L16" s="586"/>
      <c r="M16" s="586">
        <v>0</v>
      </c>
      <c r="N16" s="613"/>
      <c r="O16" s="586">
        <v>0</v>
      </c>
      <c r="P16" s="586"/>
      <c r="Q16" s="586">
        <v>0</v>
      </c>
      <c r="R16" s="601"/>
      <c r="S16" s="601"/>
      <c r="T16" s="601"/>
      <c r="U16" s="601"/>
      <c r="V16" s="601"/>
      <c r="W16" s="601"/>
      <c r="X16" s="601"/>
      <c r="Y16" s="601"/>
    </row>
    <row r="17" spans="1:25" s="604" customFormat="1" ht="15" customHeight="1">
      <c r="A17" s="154"/>
      <c r="B17" s="154"/>
      <c r="C17" s="138"/>
      <c r="D17" s="140"/>
      <c r="E17" s="140"/>
      <c r="F17" s="140"/>
      <c r="G17" s="140"/>
      <c r="H17" s="140"/>
      <c r="I17" s="141"/>
      <c r="J17" s="138"/>
      <c r="K17" s="635">
        <f>SUM(K8:K10)+SUM(K12:K16)</f>
        <v>227057</v>
      </c>
      <c r="L17" s="140"/>
      <c r="M17" s="635">
        <f>SUM(M8:M10)+SUM(M12:M16)</f>
        <v>224985</v>
      </c>
      <c r="N17" s="613"/>
      <c r="O17" s="634">
        <f>SUM(O8:O10)+SUM(O12:O16)</f>
        <v>199120</v>
      </c>
      <c r="P17" s="588"/>
      <c r="Q17" s="634">
        <f>SUM(Q8:Q10)+SUM(Q12:Q16)</f>
        <v>194660</v>
      </c>
      <c r="R17" s="601"/>
      <c r="S17" s="601"/>
      <c r="T17" s="601"/>
      <c r="U17" s="601"/>
      <c r="V17" s="601"/>
      <c r="W17" s="601"/>
      <c r="X17" s="601"/>
      <c r="Y17" s="601"/>
    </row>
    <row r="18" spans="1:25" s="604" customFormat="1" ht="15" customHeight="1">
      <c r="A18" s="154"/>
      <c r="B18" s="138"/>
      <c r="C18" s="138"/>
      <c r="D18" s="140"/>
      <c r="E18" s="140"/>
      <c r="F18" s="140"/>
      <c r="G18" s="140"/>
      <c r="H18" s="140"/>
      <c r="I18" s="141"/>
      <c r="J18" s="154" t="s">
        <v>362</v>
      </c>
      <c r="K18" s="414"/>
      <c r="L18" s="138" t="s">
        <v>362</v>
      </c>
      <c r="M18" s="414"/>
      <c r="N18" s="613" t="s">
        <v>362</v>
      </c>
      <c r="O18" s="588"/>
      <c r="P18" s="588" t="s">
        <v>362</v>
      </c>
      <c r="Q18" s="588"/>
      <c r="R18" s="601"/>
      <c r="S18" s="601"/>
      <c r="T18" s="601"/>
      <c r="U18" s="601"/>
      <c r="V18" s="601"/>
      <c r="W18" s="601"/>
      <c r="X18" s="601"/>
      <c r="Y18" s="601"/>
    </row>
    <row r="19" spans="1:25" s="604" customFormat="1" ht="15" customHeight="1">
      <c r="A19" s="154"/>
      <c r="B19" s="140" t="s">
        <v>77</v>
      </c>
      <c r="C19" s="138"/>
      <c r="D19" s="140"/>
      <c r="E19" s="140"/>
      <c r="F19" s="140"/>
      <c r="G19" s="140"/>
      <c r="H19" s="140"/>
      <c r="I19" s="141"/>
      <c r="J19" s="140"/>
      <c r="K19" s="414"/>
      <c r="L19" s="140"/>
      <c r="M19" s="414"/>
      <c r="N19" s="613"/>
      <c r="O19" s="588"/>
      <c r="P19" s="588"/>
      <c r="Q19" s="588"/>
      <c r="R19" s="154"/>
      <c r="S19" s="154"/>
      <c r="T19" s="154"/>
      <c r="U19" s="154"/>
      <c r="V19" s="154"/>
    </row>
    <row r="20" spans="1:25" s="604" customFormat="1" ht="15" customHeight="1">
      <c r="A20" s="154"/>
      <c r="B20" s="139" t="s">
        <v>78</v>
      </c>
      <c r="C20" s="139"/>
      <c r="D20" s="140"/>
      <c r="E20" s="139"/>
      <c r="F20" s="154"/>
      <c r="G20" s="154"/>
      <c r="H20" s="154"/>
      <c r="I20" s="141">
        <v>19</v>
      </c>
      <c r="J20" s="139"/>
      <c r="K20" s="414">
        <f>'Note 19 - 22'!M13</f>
        <v>1062</v>
      </c>
      <c r="L20" s="140"/>
      <c r="M20" s="414">
        <f>'Note 19 - 22'!O13</f>
        <v>1954</v>
      </c>
      <c r="N20" s="613"/>
      <c r="O20" s="588">
        <f>'Note 19 - 22'!Q13</f>
        <v>1499</v>
      </c>
      <c r="P20" s="628"/>
      <c r="Q20" s="588">
        <f>'Note 19 - 22'!T13</f>
        <v>3462</v>
      </c>
      <c r="R20" s="154"/>
      <c r="S20" s="154"/>
      <c r="T20" s="154"/>
      <c r="U20" s="154"/>
      <c r="V20" s="154"/>
    </row>
    <row r="21" spans="1:25" s="604" customFormat="1" ht="15" customHeight="1">
      <c r="A21" s="154"/>
      <c r="B21" s="139" t="s">
        <v>79</v>
      </c>
      <c r="C21" s="139"/>
      <c r="D21" s="139"/>
      <c r="E21" s="139"/>
      <c r="F21" s="154"/>
      <c r="G21" s="154"/>
      <c r="H21" s="154"/>
      <c r="I21" s="141">
        <v>20</v>
      </c>
      <c r="J21" s="139"/>
      <c r="K21" s="414">
        <f>'Note 19 - 22'!M30</f>
        <v>8981</v>
      </c>
      <c r="L21" s="140"/>
      <c r="M21" s="414">
        <f>'Note 19 - 22'!O30</f>
        <v>7696</v>
      </c>
      <c r="N21" s="613"/>
      <c r="O21" s="588">
        <f>'Note 19 - 22'!Q30</f>
        <v>13267</v>
      </c>
      <c r="P21" s="628"/>
      <c r="Q21" s="588">
        <f>'Note 19 - 22'!T30</f>
        <v>14817</v>
      </c>
      <c r="R21" s="154"/>
      <c r="S21" s="154"/>
      <c r="T21" s="154"/>
      <c r="U21" s="154"/>
      <c r="V21" s="154"/>
      <c r="W21" s="604" t="s">
        <v>362</v>
      </c>
    </row>
    <row r="22" spans="1:25" s="604" customFormat="1" ht="15" customHeight="1">
      <c r="A22" s="154"/>
      <c r="B22" s="139" t="s">
        <v>74</v>
      </c>
      <c r="C22" s="139"/>
      <c r="D22" s="140"/>
      <c r="E22" s="140"/>
      <c r="F22" s="154"/>
      <c r="G22" s="154"/>
      <c r="H22" s="154"/>
      <c r="I22" s="141">
        <v>21</v>
      </c>
      <c r="J22" s="139"/>
      <c r="K22" s="414">
        <f>'Note 19 - 22'!M42</f>
        <v>26223</v>
      </c>
      <c r="L22" s="140"/>
      <c r="M22" s="414">
        <f>'Note 19 - 22'!O42</f>
        <v>25352</v>
      </c>
      <c r="N22" s="613"/>
      <c r="O22" s="588">
        <f>'Note 19 - 22'!Q42</f>
        <v>33324</v>
      </c>
      <c r="P22" s="628"/>
      <c r="Q22" s="588">
        <f>'Note 19 - 22'!T42</f>
        <v>32314</v>
      </c>
      <c r="R22" s="154"/>
      <c r="S22" s="154"/>
      <c r="T22" s="154"/>
      <c r="U22" s="154"/>
      <c r="V22" s="154"/>
      <c r="W22" s="604" t="s">
        <v>362</v>
      </c>
    </row>
    <row r="23" spans="1:25" s="604" customFormat="1" ht="15" customHeight="1">
      <c r="A23" s="154"/>
      <c r="B23" s="139" t="s">
        <v>80</v>
      </c>
      <c r="C23" s="139"/>
      <c r="D23" s="140"/>
      <c r="E23" s="139"/>
      <c r="F23" s="154"/>
      <c r="G23" s="154"/>
      <c r="H23" s="154"/>
      <c r="I23" s="141">
        <v>27</v>
      </c>
      <c r="J23" s="139"/>
      <c r="K23" s="600">
        <v>5634</v>
      </c>
      <c r="L23" s="140"/>
      <c r="M23" s="600">
        <f>6449-3460-3200+287+5018</f>
        <v>5094</v>
      </c>
      <c r="N23" s="613"/>
      <c r="O23" s="582">
        <v>15020</v>
      </c>
      <c r="P23" s="628"/>
      <c r="Q23" s="582">
        <f>12855-1600+240+1740</f>
        <v>13235</v>
      </c>
      <c r="R23" s="154"/>
      <c r="S23" s="154"/>
      <c r="T23" s="154"/>
      <c r="U23" s="154"/>
      <c r="V23" s="154"/>
      <c r="W23" s="604" t="s">
        <v>362</v>
      </c>
    </row>
    <row r="24" spans="1:25" s="154" customFormat="1" ht="15" customHeight="1">
      <c r="D24" s="139"/>
      <c r="E24" s="139"/>
      <c r="F24" s="139"/>
      <c r="G24" s="139"/>
      <c r="H24" s="139"/>
      <c r="I24" s="141"/>
      <c r="J24" s="139"/>
      <c r="K24" s="414">
        <f>SUM(K20:K23)</f>
        <v>41900</v>
      </c>
      <c r="L24" s="140"/>
      <c r="M24" s="414">
        <f>SUM(M20:M23)</f>
        <v>40096</v>
      </c>
      <c r="N24" s="613"/>
      <c r="O24" s="588">
        <f>SUM(O20:O23)</f>
        <v>63110</v>
      </c>
      <c r="P24" s="588"/>
      <c r="Q24" s="588">
        <f>SUM(Q20:Q23)</f>
        <v>63828</v>
      </c>
    </row>
    <row r="25" spans="1:25" s="154" customFormat="1" ht="15" customHeight="1">
      <c r="B25" s="154" t="s">
        <v>908</v>
      </c>
      <c r="D25" s="139"/>
      <c r="E25" s="139"/>
      <c r="F25" s="139"/>
      <c r="G25" s="139"/>
      <c r="H25" s="139"/>
      <c r="I25" s="141"/>
      <c r="J25" s="139"/>
      <c r="K25" s="414"/>
      <c r="L25" s="140"/>
      <c r="M25" s="414"/>
      <c r="N25" s="613"/>
      <c r="O25" s="588"/>
      <c r="P25" s="588"/>
      <c r="Q25" s="588"/>
    </row>
    <row r="26" spans="1:25" s="154" customFormat="1" ht="15" customHeight="1">
      <c r="B26" s="154" t="s">
        <v>909</v>
      </c>
      <c r="C26" s="139"/>
      <c r="D26" s="140"/>
      <c r="E26" s="139"/>
      <c r="F26" s="139"/>
      <c r="I26" s="141">
        <v>22</v>
      </c>
      <c r="J26" s="139"/>
      <c r="K26" s="414">
        <f>-'Note 19 - 22'!M64</f>
        <v>-52286</v>
      </c>
      <c r="L26" s="629"/>
      <c r="M26" s="414">
        <f>-'Note 19 - 22'!O64</f>
        <v>-49131</v>
      </c>
      <c r="N26" s="585"/>
      <c r="O26" s="588">
        <f>-'Note 19 - 22'!Q64</f>
        <v>-46511</v>
      </c>
      <c r="P26" s="628"/>
      <c r="Q26" s="588">
        <f>-'Note 19 - 22'!T64</f>
        <v>-44210</v>
      </c>
      <c r="W26" s="154" t="s">
        <v>362</v>
      </c>
    </row>
    <row r="27" spans="1:25" s="154" customFormat="1" ht="15" customHeight="1">
      <c r="B27" s="154" t="s">
        <v>993</v>
      </c>
      <c r="C27" s="139"/>
      <c r="D27" s="140"/>
      <c r="E27" s="139"/>
      <c r="F27" s="139"/>
      <c r="I27" s="141">
        <v>18</v>
      </c>
      <c r="J27" s="139"/>
      <c r="K27" s="600">
        <v>-9</v>
      </c>
      <c r="L27" s="629"/>
      <c r="M27" s="589">
        <v>0</v>
      </c>
      <c r="N27" s="585"/>
      <c r="O27" s="589">
        <v>0</v>
      </c>
      <c r="P27" s="586"/>
      <c r="Q27" s="589">
        <v>0</v>
      </c>
      <c r="W27" s="154" t="s">
        <v>362</v>
      </c>
    </row>
    <row r="28" spans="1:25" s="154" customFormat="1" ht="15" customHeight="1">
      <c r="B28" s="138"/>
      <c r="D28" s="139"/>
      <c r="E28" s="139"/>
      <c r="F28" s="139"/>
      <c r="I28" s="141"/>
      <c r="J28" s="154" t="s">
        <v>362</v>
      </c>
      <c r="K28" s="414"/>
      <c r="L28" s="138" t="s">
        <v>362</v>
      </c>
      <c r="M28" s="414"/>
      <c r="N28" s="613" t="s">
        <v>362</v>
      </c>
      <c r="O28" s="588"/>
      <c r="P28" s="588" t="s">
        <v>362</v>
      </c>
      <c r="Q28" s="588"/>
    </row>
    <row r="29" spans="1:25" s="604" customFormat="1" ht="15" customHeight="1">
      <c r="A29" s="154"/>
      <c r="B29" s="138" t="s">
        <v>82</v>
      </c>
      <c r="C29" s="139"/>
      <c r="D29" s="140"/>
      <c r="E29" s="139"/>
      <c r="F29" s="139"/>
      <c r="G29" s="154"/>
      <c r="H29" s="154"/>
      <c r="I29" s="141"/>
      <c r="J29" s="139"/>
      <c r="K29" s="414">
        <f>SUM(K24:K27)</f>
        <v>-10395</v>
      </c>
      <c r="L29" s="414"/>
      <c r="M29" s="414">
        <f>SUM(M24:M27)</f>
        <v>-9035</v>
      </c>
      <c r="N29" s="414"/>
      <c r="O29" s="588">
        <f>SUM(O24:O27)</f>
        <v>16599</v>
      </c>
      <c r="P29" s="588"/>
      <c r="Q29" s="588">
        <f>SUM(Q24:Q27)</f>
        <v>19618</v>
      </c>
      <c r="R29" s="154"/>
      <c r="S29" s="154"/>
      <c r="T29" s="154"/>
      <c r="U29" s="154"/>
      <c r="V29" s="154"/>
    </row>
    <row r="30" spans="1:25" s="154" customFormat="1" ht="15" customHeight="1">
      <c r="B30" s="138"/>
      <c r="C30" s="138"/>
      <c r="D30" s="140"/>
      <c r="E30" s="140"/>
      <c r="F30" s="140"/>
      <c r="G30" s="140"/>
      <c r="H30" s="140"/>
      <c r="I30" s="141"/>
      <c r="J30" s="588" t="s">
        <v>362</v>
      </c>
      <c r="K30" s="600"/>
      <c r="L30" s="600" t="s">
        <v>362</v>
      </c>
      <c r="M30" s="600"/>
      <c r="N30" s="633" t="s">
        <v>362</v>
      </c>
      <c r="O30" s="582"/>
      <c r="P30" s="582" t="s">
        <v>362</v>
      </c>
      <c r="Q30" s="582"/>
    </row>
    <row r="31" spans="1:25" s="154" customFormat="1" ht="15" customHeight="1">
      <c r="B31" s="140" t="s">
        <v>83</v>
      </c>
      <c r="D31" s="140"/>
      <c r="E31" s="140"/>
      <c r="F31" s="140"/>
      <c r="G31" s="140"/>
      <c r="H31" s="140"/>
      <c r="I31" s="141"/>
      <c r="J31" s="139"/>
      <c r="K31" s="414">
        <f>K17+K29</f>
        <v>216662</v>
      </c>
      <c r="L31" s="140"/>
      <c r="M31" s="414">
        <f>M17+M29</f>
        <v>215950</v>
      </c>
      <c r="N31" s="613"/>
      <c r="O31" s="588">
        <f>O17+O29</f>
        <v>215719</v>
      </c>
      <c r="P31" s="588"/>
      <c r="Q31" s="588">
        <f>Q17+Q29</f>
        <v>214278</v>
      </c>
    </row>
    <row r="32" spans="1:25" s="154" customFormat="1" ht="15" customHeight="1">
      <c r="B32" s="139"/>
      <c r="D32" s="140"/>
      <c r="E32" s="140"/>
      <c r="F32" s="140"/>
      <c r="G32" s="140"/>
      <c r="H32" s="140"/>
      <c r="I32" s="141"/>
      <c r="J32" s="140"/>
      <c r="K32" s="414"/>
      <c r="L32" s="140"/>
      <c r="M32" s="414"/>
      <c r="N32" s="613"/>
      <c r="O32" s="588"/>
      <c r="P32" s="588"/>
      <c r="Q32" s="588"/>
    </row>
    <row r="33" spans="1:22" s="154" customFormat="1" ht="15" customHeight="1">
      <c r="B33" s="139" t="s">
        <v>84</v>
      </c>
      <c r="C33" s="139"/>
      <c r="D33" s="140"/>
      <c r="E33" s="140"/>
      <c r="F33" s="140"/>
      <c r="G33" s="140"/>
      <c r="H33" s="140"/>
      <c r="I33" s="141">
        <v>23</v>
      </c>
      <c r="J33" s="140"/>
      <c r="K33" s="414">
        <f>-'Notes 23 &amp; 24'!L17</f>
        <v>-42861</v>
      </c>
      <c r="L33" s="138"/>
      <c r="M33" s="414">
        <f>-'Notes 23 &amp; 24'!N17</f>
        <v>-42861</v>
      </c>
      <c r="N33" s="613"/>
      <c r="O33" s="588">
        <f>-'Notes 23 &amp; 24'!P17</f>
        <v>-60825</v>
      </c>
      <c r="P33" s="588"/>
      <c r="Q33" s="588">
        <f>-'Notes 23 &amp; 24'!R17</f>
        <v>-60825</v>
      </c>
    </row>
    <row r="34" spans="1:22" s="154" customFormat="1" ht="15" customHeight="1">
      <c r="B34" s="139"/>
      <c r="C34" s="139"/>
      <c r="D34" s="140"/>
      <c r="E34" s="140"/>
      <c r="F34" s="140"/>
      <c r="G34" s="140"/>
      <c r="H34" s="140"/>
      <c r="I34" s="141"/>
      <c r="J34" s="140"/>
      <c r="K34" s="414"/>
      <c r="L34" s="138"/>
      <c r="M34" s="414"/>
      <c r="N34" s="613"/>
      <c r="O34" s="588"/>
      <c r="P34" s="588"/>
      <c r="Q34" s="588"/>
    </row>
    <row r="35" spans="1:22" s="154" customFormat="1" ht="15" customHeight="1">
      <c r="B35" s="140" t="s">
        <v>85</v>
      </c>
      <c r="C35" s="140"/>
      <c r="D35" s="140"/>
      <c r="E35" s="140"/>
      <c r="F35" s="140"/>
      <c r="G35" s="140"/>
      <c r="H35" s="140"/>
      <c r="I35" s="141"/>
      <c r="J35" s="140"/>
      <c r="K35" s="414"/>
      <c r="L35" s="138"/>
      <c r="M35" s="414"/>
      <c r="N35" s="613"/>
      <c r="O35" s="588"/>
      <c r="P35" s="588"/>
      <c r="Q35" s="588"/>
    </row>
    <row r="36" spans="1:22" s="154" customFormat="1" ht="15" customHeight="1">
      <c r="B36" s="139" t="s">
        <v>86</v>
      </c>
      <c r="C36" s="139"/>
      <c r="D36" s="139"/>
      <c r="E36" s="139"/>
      <c r="F36" s="139"/>
      <c r="G36" s="139"/>
      <c r="H36" s="632"/>
      <c r="I36" s="141">
        <v>24</v>
      </c>
      <c r="J36" s="139"/>
      <c r="K36" s="414">
        <v>-17503</v>
      </c>
      <c r="L36" s="138"/>
      <c r="M36" s="414">
        <v>-17503</v>
      </c>
      <c r="O36" s="588">
        <v>-16673</v>
      </c>
      <c r="P36" s="588"/>
      <c r="Q36" s="588">
        <v>-16670</v>
      </c>
    </row>
    <row r="37" spans="1:22" s="154" customFormat="1" ht="15" customHeight="1">
      <c r="B37" s="139" t="s">
        <v>87</v>
      </c>
      <c r="C37" s="139"/>
      <c r="D37" s="140"/>
      <c r="E37" s="140"/>
      <c r="F37" s="140"/>
      <c r="G37" s="140"/>
      <c r="H37" s="140"/>
      <c r="I37" s="141">
        <v>24</v>
      </c>
      <c r="J37" s="139"/>
      <c r="K37" s="414">
        <f>-'Notes 23 &amp; 24'!V59</f>
        <v>-12526</v>
      </c>
      <c r="L37" s="629"/>
      <c r="M37" s="414">
        <f>-'Notes 23 &amp; 24'!V71</f>
        <v>-12526</v>
      </c>
      <c r="N37" s="585"/>
      <c r="O37" s="588">
        <f>-'Notes 23 &amp; 24'!V55</f>
        <v>-14768</v>
      </c>
      <c r="P37" s="628"/>
      <c r="Q37" s="588">
        <f>-'Notes 23 &amp; 24'!V67</f>
        <v>-14768</v>
      </c>
    </row>
    <row r="38" spans="1:22" s="154" customFormat="1" ht="15" customHeight="1">
      <c r="B38" s="139"/>
      <c r="C38" s="139"/>
      <c r="D38" s="140"/>
      <c r="E38" s="140"/>
      <c r="F38" s="140"/>
      <c r="G38" s="140"/>
      <c r="H38" s="140"/>
      <c r="I38" s="141"/>
      <c r="J38" s="139"/>
      <c r="K38" s="414"/>
      <c r="L38" s="629"/>
      <c r="M38" s="414"/>
      <c r="N38" s="585"/>
      <c r="O38" s="588"/>
      <c r="P38" s="628"/>
      <c r="Q38" s="588"/>
    </row>
    <row r="39" spans="1:22" s="154" customFormat="1" ht="15" customHeight="1" thickBot="1">
      <c r="B39" s="140" t="s">
        <v>88</v>
      </c>
      <c r="C39" s="139"/>
      <c r="D39" s="140"/>
      <c r="E39" s="140"/>
      <c r="F39" s="140"/>
      <c r="G39" s="139"/>
      <c r="I39" s="143"/>
      <c r="J39" s="139"/>
      <c r="K39" s="627">
        <f>SUM(K31:K37)</f>
        <v>143772</v>
      </c>
      <c r="L39" s="414"/>
      <c r="M39" s="627">
        <f>SUM(M31:M37)</f>
        <v>143060</v>
      </c>
      <c r="N39" s="414"/>
      <c r="O39" s="626">
        <f>SUM(O31:O37)</f>
        <v>123453</v>
      </c>
      <c r="P39" s="588"/>
      <c r="Q39" s="626">
        <f>SUM(Q31:Q37)</f>
        <v>122015</v>
      </c>
    </row>
    <row r="40" spans="1:22" s="154" customFormat="1" ht="15" customHeight="1" thickTop="1">
      <c r="B40" s="140"/>
      <c r="C40" s="139"/>
      <c r="D40" s="140"/>
      <c r="E40" s="140"/>
      <c r="F40" s="140"/>
      <c r="G40" s="139"/>
      <c r="I40" s="143"/>
      <c r="J40" s="139"/>
      <c r="K40" s="414"/>
      <c r="L40" s="138"/>
      <c r="M40" s="414"/>
      <c r="N40" s="138"/>
      <c r="O40" s="588"/>
      <c r="P40" s="588"/>
      <c r="Q40" s="588"/>
    </row>
    <row r="41" spans="1:22" s="154" customFormat="1" ht="15" customHeight="1">
      <c r="B41" s="140"/>
      <c r="C41" s="139"/>
      <c r="D41" s="140"/>
      <c r="E41" s="140"/>
      <c r="F41" s="140"/>
      <c r="G41" s="139"/>
      <c r="I41" s="143"/>
      <c r="J41" s="139"/>
      <c r="K41" s="414"/>
      <c r="L41" s="138"/>
      <c r="M41" s="414"/>
      <c r="N41" s="138"/>
      <c r="O41" s="588"/>
      <c r="P41" s="588"/>
      <c r="Q41" s="588"/>
    </row>
    <row r="42" spans="1:22" s="604" customFormat="1" ht="15" customHeight="1">
      <c r="A42" s="154"/>
      <c r="B42" s="138" t="s">
        <v>89</v>
      </c>
      <c r="C42" s="154"/>
      <c r="D42" s="139"/>
      <c r="E42" s="154"/>
      <c r="F42" s="154"/>
      <c r="G42" s="154"/>
      <c r="H42" s="154"/>
      <c r="I42" s="141"/>
      <c r="J42" s="139"/>
      <c r="K42" s="414"/>
      <c r="L42" s="143"/>
      <c r="M42" s="414"/>
      <c r="N42" s="613"/>
      <c r="O42" s="588"/>
      <c r="P42" s="588"/>
      <c r="Q42" s="588"/>
      <c r="R42" s="154"/>
      <c r="S42" s="154"/>
      <c r="T42" s="154"/>
      <c r="U42" s="154"/>
      <c r="V42" s="154"/>
    </row>
    <row r="43" spans="1:22" s="604" customFormat="1" ht="15" customHeight="1">
      <c r="A43" s="154"/>
      <c r="B43" s="154" t="s">
        <v>90</v>
      </c>
      <c r="C43" s="154"/>
      <c r="D43" s="139"/>
      <c r="E43" s="154"/>
      <c r="F43" s="154"/>
      <c r="G43" s="154"/>
      <c r="H43" s="154"/>
      <c r="I43" s="141">
        <v>25</v>
      </c>
      <c r="J43" s="139"/>
      <c r="K43" s="414">
        <f>'Note 25'!H24+'Note 25'!I24+'Note 25'!J24</f>
        <v>2863</v>
      </c>
      <c r="L43" s="414"/>
      <c r="M43" s="414">
        <f>'Note 25'!K24</f>
        <v>2863</v>
      </c>
      <c r="N43" s="414"/>
      <c r="O43" s="588">
        <f>'Note 25'!L31</f>
        <v>1621</v>
      </c>
      <c r="P43" s="588"/>
      <c r="Q43" s="588">
        <f>'Note 25'!L31</f>
        <v>1621</v>
      </c>
      <c r="R43" s="154"/>
      <c r="S43" s="154"/>
      <c r="T43" s="154"/>
      <c r="U43" s="154"/>
      <c r="V43" s="154"/>
    </row>
    <row r="44" spans="1:22" s="604" customFormat="1" ht="15" customHeight="1">
      <c r="A44" s="154"/>
      <c r="B44" s="154" t="s">
        <v>91</v>
      </c>
      <c r="C44" s="154"/>
      <c r="D44" s="139"/>
      <c r="E44" s="154"/>
      <c r="F44" s="154"/>
      <c r="G44" s="154"/>
      <c r="H44" s="154"/>
      <c r="I44" s="141">
        <v>26</v>
      </c>
      <c r="J44" s="139"/>
      <c r="K44" s="414">
        <f>'Note 26 &amp; 27'!J24</f>
        <v>1446</v>
      </c>
      <c r="L44" s="414"/>
      <c r="M44" s="414">
        <f>'Note 26 &amp; 27'!J24</f>
        <v>1446</v>
      </c>
      <c r="N44" s="414"/>
      <c r="O44" s="588">
        <f>'Note 26 &amp; 27'!K24</f>
        <v>1468</v>
      </c>
      <c r="P44" s="588"/>
      <c r="Q44" s="588">
        <f>'Note 26 &amp; 27'!K24</f>
        <v>1468</v>
      </c>
      <c r="R44" s="154"/>
      <c r="S44" s="154"/>
      <c r="T44" s="154"/>
      <c r="U44" s="154"/>
      <c r="V44" s="154"/>
    </row>
    <row r="45" spans="1:22" s="604" customFormat="1" ht="15" customHeight="1">
      <c r="A45" s="154"/>
      <c r="B45" s="138" t="s">
        <v>92</v>
      </c>
      <c r="C45" s="154"/>
      <c r="D45" s="139"/>
      <c r="E45" s="154"/>
      <c r="F45" s="154"/>
      <c r="G45" s="154"/>
      <c r="H45" s="154"/>
      <c r="I45" s="141"/>
      <c r="J45" s="139"/>
      <c r="K45" s="414"/>
      <c r="L45" s="414"/>
      <c r="M45" s="414"/>
      <c r="N45" s="414"/>
      <c r="O45" s="588"/>
      <c r="P45" s="588"/>
      <c r="Q45" s="588"/>
      <c r="R45" s="154"/>
      <c r="S45" s="154"/>
      <c r="T45" s="154"/>
      <c r="U45" s="154"/>
      <c r="V45" s="154"/>
    </row>
    <row r="46" spans="1:22" s="604" customFormat="1" ht="15" customHeight="1">
      <c r="A46" s="154"/>
      <c r="B46" s="154" t="s">
        <v>93</v>
      </c>
      <c r="C46" s="154"/>
      <c r="D46" s="139"/>
      <c r="E46" s="154"/>
      <c r="F46" s="154"/>
      <c r="G46" s="154"/>
      <c r="H46" s="154"/>
      <c r="I46" s="141"/>
      <c r="J46" s="139"/>
      <c r="K46" s="414">
        <f>CSCR!I27</f>
        <v>121782</v>
      </c>
      <c r="L46" s="414"/>
      <c r="M46" s="414">
        <f>CSCR!I52</f>
        <v>121016</v>
      </c>
      <c r="N46" s="414"/>
      <c r="O46" s="588">
        <f>49379+65566-1450-12680-814</f>
        <v>100001</v>
      </c>
      <c r="P46" s="588"/>
      <c r="Q46" s="588">
        <f>48708+64787-1450-12680-814</f>
        <v>98551</v>
      </c>
      <c r="R46" s="154"/>
      <c r="S46" s="154"/>
      <c r="T46" s="154"/>
      <c r="U46" s="154"/>
      <c r="V46" s="154"/>
    </row>
    <row r="47" spans="1:22" s="604" customFormat="1" ht="15" customHeight="1">
      <c r="A47" s="154"/>
      <c r="B47" s="154" t="s">
        <v>61</v>
      </c>
      <c r="C47" s="154"/>
      <c r="D47" s="139"/>
      <c r="E47" s="154"/>
      <c r="F47" s="154" t="s">
        <v>362</v>
      </c>
      <c r="G47" s="154"/>
      <c r="H47" s="154"/>
      <c r="I47" s="141"/>
      <c r="J47" s="139"/>
      <c r="K47" s="414">
        <f>CSCR!K27</f>
        <v>17735</v>
      </c>
      <c r="L47" s="417"/>
      <c r="M47" s="414">
        <f>K47</f>
        <v>17735</v>
      </c>
      <c r="N47" s="585"/>
      <c r="O47" s="588">
        <v>20375</v>
      </c>
      <c r="P47" s="588"/>
      <c r="Q47" s="588">
        <v>20375</v>
      </c>
      <c r="R47" s="154"/>
      <c r="S47" s="154"/>
      <c r="T47" s="154"/>
      <c r="U47" s="154"/>
      <c r="V47" s="154"/>
    </row>
    <row r="48" spans="1:22" s="604" customFormat="1" ht="15" customHeight="1">
      <c r="A48" s="154"/>
      <c r="B48" s="154"/>
      <c r="C48" s="154"/>
      <c r="D48" s="139"/>
      <c r="E48" s="154"/>
      <c r="F48" s="154"/>
      <c r="G48" s="154"/>
      <c r="H48" s="154"/>
      <c r="I48" s="141"/>
      <c r="J48" s="139"/>
      <c r="K48" s="631">
        <f>SUM(K43:K47)</f>
        <v>143826</v>
      </c>
      <c r="L48" s="414"/>
      <c r="M48" s="631">
        <f>SUM(M43:M47)</f>
        <v>143060</v>
      </c>
      <c r="N48" s="414"/>
      <c r="O48" s="630">
        <f>SUM(O43:O47)</f>
        <v>123465</v>
      </c>
      <c r="P48" s="588"/>
      <c r="Q48" s="630">
        <f>SUM(Q43:Q47)</f>
        <v>122015</v>
      </c>
      <c r="R48" s="154"/>
      <c r="S48" s="154"/>
      <c r="T48" s="154"/>
      <c r="U48" s="154"/>
      <c r="V48" s="154"/>
    </row>
    <row r="49" spans="1:22" s="154" customFormat="1" ht="15" customHeight="1">
      <c r="B49" s="139" t="s">
        <v>94</v>
      </c>
      <c r="C49" s="139"/>
      <c r="D49" s="140"/>
      <c r="E49" s="140"/>
      <c r="F49" s="140"/>
      <c r="G49" s="140"/>
      <c r="H49" s="140"/>
      <c r="I49" s="141"/>
      <c r="J49" s="139"/>
      <c r="K49" s="414">
        <f>CSCR!O27</f>
        <v>-54</v>
      </c>
      <c r="L49" s="629"/>
      <c r="M49" s="586">
        <v>0</v>
      </c>
      <c r="N49" s="585"/>
      <c r="O49" s="588">
        <v>-12</v>
      </c>
      <c r="P49" s="628"/>
      <c r="Q49" s="586">
        <v>0</v>
      </c>
    </row>
    <row r="50" spans="1:22" s="604" customFormat="1" ht="15" customHeight="1" thickBot="1">
      <c r="A50" s="154"/>
      <c r="B50" s="138" t="s">
        <v>95</v>
      </c>
      <c r="C50" s="138"/>
      <c r="D50" s="140"/>
      <c r="E50" s="154"/>
      <c r="F50" s="154"/>
      <c r="G50" s="154"/>
      <c r="H50" s="154"/>
      <c r="I50" s="141"/>
      <c r="J50" s="139"/>
      <c r="K50" s="627">
        <f>SUM(K49+K48)</f>
        <v>143772</v>
      </c>
      <c r="L50" s="414"/>
      <c r="M50" s="627">
        <f>SUM(M49+M48)</f>
        <v>143060</v>
      </c>
      <c r="N50" s="414"/>
      <c r="O50" s="626">
        <f>SUM(O49+O48)</f>
        <v>123453</v>
      </c>
      <c r="P50" s="588"/>
      <c r="Q50" s="626">
        <f>SUM(Q49+Q48)</f>
        <v>122015</v>
      </c>
      <c r="R50" s="154"/>
      <c r="S50" s="154"/>
      <c r="T50" s="154"/>
      <c r="U50" s="154"/>
      <c r="V50" s="154"/>
    </row>
    <row r="51" spans="1:22" s="154" customFormat="1" ht="17.25" customHeight="1" thickTop="1">
      <c r="I51" s="141"/>
      <c r="J51" s="588"/>
      <c r="K51" s="625"/>
      <c r="L51" s="414"/>
      <c r="M51" s="625"/>
      <c r="N51" s="585"/>
      <c r="O51" s="624"/>
      <c r="P51" s="624"/>
      <c r="Q51" s="624"/>
    </row>
    <row r="52" spans="1:22" s="154" customFormat="1" ht="18" customHeight="1">
      <c r="I52" s="141"/>
      <c r="J52" s="587"/>
      <c r="K52" s="143"/>
      <c r="L52" s="143"/>
      <c r="M52" s="143"/>
      <c r="N52" s="143"/>
      <c r="O52" s="143"/>
      <c r="P52" s="143"/>
      <c r="Q52" s="143"/>
    </row>
    <row r="53" spans="1:22" s="154" customFormat="1" ht="18" customHeight="1">
      <c r="B53" s="154" t="s">
        <v>96</v>
      </c>
      <c r="I53" s="141"/>
      <c r="J53" s="587"/>
      <c r="K53" s="143"/>
      <c r="L53" s="584"/>
      <c r="M53" s="143"/>
      <c r="O53" s="141"/>
      <c r="P53" s="588"/>
      <c r="Q53" s="141"/>
    </row>
    <row r="54" spans="1:22" s="154" customFormat="1" ht="18" customHeight="1">
      <c r="I54" s="141"/>
      <c r="J54" s="587"/>
      <c r="K54" s="143"/>
      <c r="L54" s="584"/>
      <c r="M54" s="143"/>
      <c r="O54" s="141"/>
      <c r="P54" s="588"/>
      <c r="Q54" s="141"/>
    </row>
    <row r="55" spans="1:22" s="154" customFormat="1" ht="18" customHeight="1">
      <c r="B55" s="154" t="s">
        <v>97</v>
      </c>
      <c r="I55" s="141"/>
      <c r="J55" s="748"/>
      <c r="K55" s="143"/>
      <c r="L55" s="584"/>
      <c r="M55" s="143"/>
      <c r="O55" s="141"/>
      <c r="P55" s="588"/>
      <c r="Q55" s="141"/>
    </row>
    <row r="56" spans="1:22" s="604" customFormat="1" ht="17.100000000000001" customHeight="1">
      <c r="A56" s="154"/>
      <c r="B56" s="154" t="s">
        <v>98</v>
      </c>
      <c r="C56" s="154"/>
      <c r="D56" s="154"/>
      <c r="E56" s="154"/>
      <c r="F56" s="154"/>
      <c r="G56" s="141"/>
      <c r="H56" s="141"/>
      <c r="I56" s="141"/>
      <c r="J56" s="141"/>
      <c r="K56" s="143"/>
      <c r="L56" s="143"/>
      <c r="M56" s="143"/>
      <c r="N56" s="141"/>
      <c r="O56" s="141"/>
      <c r="P56" s="154"/>
      <c r="Q56" s="141"/>
      <c r="R56" s="154"/>
      <c r="S56" s="154"/>
      <c r="T56" s="154"/>
      <c r="U56" s="154"/>
      <c r="V56" s="154"/>
    </row>
    <row r="57" spans="1:22" s="604" customFormat="1" ht="17.100000000000001" customHeight="1">
      <c r="A57" s="154"/>
      <c r="B57" s="154" t="s">
        <v>99</v>
      </c>
      <c r="C57" s="154"/>
      <c r="D57" s="154"/>
      <c r="E57" s="154"/>
      <c r="F57" s="154"/>
      <c r="G57" s="141"/>
      <c r="H57" s="141"/>
      <c r="I57" s="141"/>
      <c r="J57" s="141"/>
      <c r="K57" s="143"/>
      <c r="L57" s="143"/>
      <c r="M57" s="143"/>
      <c r="N57" s="141"/>
      <c r="O57" s="141"/>
      <c r="P57" s="154"/>
      <c r="Q57" s="141"/>
      <c r="R57" s="154"/>
      <c r="S57" s="154"/>
      <c r="T57" s="154"/>
      <c r="U57" s="154"/>
      <c r="V57" s="154"/>
    </row>
    <row r="58" spans="1:22" s="604" customFormat="1" ht="17.100000000000001" customHeight="1">
      <c r="B58" s="154" t="s">
        <v>100</v>
      </c>
      <c r="D58" s="154"/>
      <c r="E58" s="154"/>
      <c r="F58" s="154"/>
      <c r="G58" s="154"/>
      <c r="H58" s="154"/>
      <c r="I58" s="141"/>
      <c r="J58" s="154"/>
      <c r="K58" s="143"/>
      <c r="L58" s="138"/>
      <c r="M58" s="143"/>
      <c r="N58" s="154"/>
      <c r="O58" s="154"/>
      <c r="P58" s="154"/>
      <c r="Q58" s="141"/>
      <c r="R58" s="154"/>
      <c r="S58" s="154"/>
      <c r="T58" s="154"/>
      <c r="U58" s="154"/>
      <c r="V58" s="154"/>
    </row>
    <row r="59" spans="1:22" s="604" customFormat="1" ht="18.95" customHeight="1">
      <c r="I59" s="621"/>
      <c r="K59" s="622"/>
      <c r="L59" s="620"/>
      <c r="M59" s="622"/>
      <c r="Q59" s="141"/>
      <c r="R59" s="154"/>
      <c r="S59" s="154"/>
      <c r="T59" s="154"/>
      <c r="U59" s="154"/>
      <c r="V59" s="154"/>
    </row>
    <row r="60" spans="1:22" s="604" customFormat="1" ht="18.75" customHeight="1">
      <c r="A60" s="623"/>
      <c r="I60" s="621"/>
      <c r="K60" s="622"/>
      <c r="L60" s="620"/>
      <c r="M60" s="622"/>
      <c r="R60" s="154"/>
      <c r="S60" s="154"/>
      <c r="T60" s="154"/>
      <c r="U60" s="154"/>
      <c r="V60" s="154"/>
    </row>
    <row r="61" spans="1:22" s="604" customFormat="1" ht="14.1" customHeight="1">
      <c r="I61" s="621"/>
      <c r="K61" s="620"/>
      <c r="L61" s="620"/>
      <c r="M61" s="620"/>
      <c r="R61" s="154"/>
      <c r="S61" s="154"/>
      <c r="T61" s="154"/>
      <c r="U61" s="154"/>
      <c r="V61" s="154"/>
    </row>
    <row r="62" spans="1:22" ht="14.1" customHeight="1">
      <c r="R62" s="154"/>
      <c r="S62" s="154"/>
      <c r="T62" s="154"/>
      <c r="U62" s="154"/>
      <c r="V62" s="154"/>
    </row>
    <row r="63" spans="1:22" ht="14.1" customHeight="1">
      <c r="R63" s="154"/>
      <c r="S63" s="154"/>
      <c r="T63" s="154"/>
      <c r="U63" s="154"/>
      <c r="V63" s="154"/>
    </row>
    <row r="64" spans="1:22" ht="14.1" customHeight="1">
      <c r="R64" s="154"/>
      <c r="S64" s="154"/>
      <c r="T64" s="154"/>
      <c r="U64" s="154"/>
      <c r="V64" s="154"/>
    </row>
    <row r="65" spans="9:22" ht="14.1" customHeight="1">
      <c r="I65" s="619" t="s">
        <v>929</v>
      </c>
      <c r="R65" s="154"/>
      <c r="S65" s="154"/>
      <c r="T65" s="154"/>
      <c r="U65" s="154"/>
      <c r="V65" s="154"/>
    </row>
    <row r="66" spans="9:22" ht="14.1" customHeight="1">
      <c r="R66" s="154"/>
      <c r="S66" s="154"/>
      <c r="T66" s="154"/>
      <c r="U66" s="154"/>
      <c r="V66" s="154"/>
    </row>
    <row r="67" spans="9:22" ht="14.1" customHeight="1">
      <c r="I67" s="601"/>
      <c r="K67" s="601"/>
      <c r="L67" s="601"/>
      <c r="M67" s="601"/>
      <c r="R67" s="154"/>
      <c r="S67" s="154"/>
      <c r="T67" s="154"/>
      <c r="U67" s="154"/>
      <c r="V67" s="154"/>
    </row>
    <row r="68" spans="9:22" ht="14.1" customHeight="1">
      <c r="I68" s="601"/>
      <c r="K68" s="601"/>
      <c r="L68" s="601"/>
      <c r="M68" s="601"/>
      <c r="R68" s="154"/>
      <c r="S68" s="154"/>
      <c r="T68" s="154"/>
      <c r="U68" s="154"/>
      <c r="V68" s="154"/>
    </row>
    <row r="69" spans="9:22" ht="14.1" customHeight="1">
      <c r="I69" s="601"/>
      <c r="K69" s="601"/>
      <c r="L69" s="601"/>
      <c r="M69" s="601"/>
      <c r="R69" s="154"/>
      <c r="S69" s="154"/>
      <c r="T69" s="154"/>
      <c r="U69" s="154"/>
      <c r="V69" s="154"/>
    </row>
    <row r="70" spans="9:22">
      <c r="I70" s="601"/>
      <c r="K70" s="601"/>
      <c r="L70" s="601"/>
      <c r="M70" s="601"/>
      <c r="R70" s="154"/>
      <c r="S70" s="154"/>
      <c r="T70" s="154"/>
      <c r="U70" s="154"/>
      <c r="V70" s="154"/>
    </row>
    <row r="71" spans="9:22">
      <c r="I71" s="601"/>
      <c r="K71" s="601"/>
      <c r="L71" s="601"/>
      <c r="M71" s="601"/>
      <c r="R71" s="154"/>
      <c r="S71" s="154"/>
      <c r="T71" s="154"/>
      <c r="U71" s="154"/>
      <c r="V71" s="154"/>
    </row>
  </sheetData>
  <mergeCells count="1">
    <mergeCell ref="A1:Q1"/>
  </mergeCells>
  <pageMargins left="0.70866141732283472" right="0.70866141732283472" top="0.74803149606299213" bottom="0.74803149606299213" header="0.31496062992125984" footer="0.31496062992125984"/>
  <pageSetup paperSize="9" scale="70" orientation="portrait" r:id="rId1"/>
  <headerFooter>
    <oddFooter>&amp;C&amp;P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20"/>
  <sheetViews>
    <sheetView view="pageBreakPreview" topLeftCell="A40" zoomScale="115" zoomScaleNormal="100" zoomScaleSheetLayoutView="115" zoomScalePageLayoutView="70" workbookViewId="0">
      <selection activeCell="H18" sqref="H18"/>
    </sheetView>
  </sheetViews>
  <sheetFormatPr defaultColWidth="11.42578125" defaultRowHeight="12.75"/>
  <cols>
    <col min="1" max="1" width="3.42578125" style="150" customWidth="1"/>
    <col min="2" max="2" width="51.7109375" style="150" bestFit="1" customWidth="1"/>
    <col min="3" max="3" width="2" style="150" customWidth="1"/>
    <col min="4" max="4" width="4.28515625" style="150" customWidth="1"/>
    <col min="5" max="6" width="4.42578125" style="150" customWidth="1"/>
    <col min="7" max="7" width="6.42578125" style="150" bestFit="1" customWidth="1"/>
    <col min="8" max="8" width="11.28515625" style="150" bestFit="1" customWidth="1"/>
    <col min="9" max="9" width="3.5703125" style="150" customWidth="1"/>
    <col min="10" max="10" width="11.42578125" style="150" customWidth="1"/>
    <col min="11" max="11" width="28.7109375" style="150" customWidth="1"/>
    <col min="12" max="12" width="5.7109375" style="162" customWidth="1"/>
    <col min="13" max="13" width="21.28515625" style="152" bestFit="1" customWidth="1"/>
    <col min="14" max="14" width="2.85546875" style="150" customWidth="1"/>
    <col min="15" max="15" width="20.85546875" style="495" bestFit="1" customWidth="1"/>
    <col min="16" max="16" width="1.85546875" style="495" customWidth="1"/>
    <col min="17" max="16384" width="11.42578125" style="495"/>
  </cols>
  <sheetData>
    <row r="1" spans="1:17" s="667" customFormat="1" ht="30" customHeight="1">
      <c r="A1" s="796" t="s">
        <v>1208</v>
      </c>
      <c r="H1" s="146"/>
      <c r="I1" s="146"/>
      <c r="J1" s="671"/>
      <c r="K1" s="668"/>
      <c r="L1" s="670"/>
      <c r="M1" s="669"/>
      <c r="N1" s="668"/>
      <c r="O1" s="668"/>
      <c r="Q1" s="146"/>
    </row>
    <row r="2" spans="1:17" s="577" customFormat="1" ht="19.5" customHeight="1">
      <c r="A2" s="147" t="s">
        <v>18</v>
      </c>
      <c r="B2" s="598"/>
      <c r="C2" s="598"/>
      <c r="D2" s="598"/>
      <c r="E2" s="598"/>
      <c r="F2" s="598"/>
      <c r="G2" s="598"/>
      <c r="H2" s="147"/>
      <c r="I2" s="147"/>
      <c r="J2" s="598"/>
      <c r="K2" s="598"/>
      <c r="L2" s="666"/>
      <c r="M2" s="147"/>
      <c r="N2" s="598"/>
      <c r="O2" s="598"/>
      <c r="Q2" s="663"/>
    </row>
    <row r="3" spans="1:17" s="577" customFormat="1" ht="15" customHeight="1" thickBot="1">
      <c r="A3" s="148"/>
      <c r="B3" s="163"/>
      <c r="C3" s="163"/>
      <c r="D3" s="163"/>
      <c r="E3" s="163"/>
      <c r="F3" s="163"/>
      <c r="G3" s="163"/>
      <c r="H3" s="148"/>
      <c r="I3" s="148"/>
      <c r="J3" s="163"/>
      <c r="K3" s="497"/>
      <c r="L3" s="652"/>
      <c r="M3" s="505"/>
      <c r="N3" s="497"/>
      <c r="O3" s="497"/>
      <c r="Q3" s="663"/>
    </row>
    <row r="4" spans="1:17" s="577" customFormat="1" ht="15" customHeight="1">
      <c r="A4" s="505"/>
      <c r="B4" s="497"/>
      <c r="C4" s="497"/>
      <c r="D4" s="497"/>
      <c r="E4" s="497"/>
      <c r="F4" s="497"/>
      <c r="G4" s="497"/>
      <c r="H4" s="505"/>
      <c r="I4" s="505"/>
      <c r="J4" s="497"/>
      <c r="K4" s="497"/>
      <c r="L4" s="652"/>
      <c r="M4" s="505"/>
      <c r="N4" s="497"/>
      <c r="O4" s="497"/>
      <c r="Q4" s="663"/>
    </row>
    <row r="5" spans="1:17" s="577" customFormat="1" ht="15" customHeight="1">
      <c r="A5" s="505"/>
      <c r="B5" s="497"/>
      <c r="C5" s="497"/>
      <c r="D5" s="497"/>
      <c r="E5" s="497"/>
      <c r="F5" s="497"/>
      <c r="G5" s="652"/>
      <c r="H5" s="665"/>
      <c r="I5" s="664"/>
      <c r="J5" s="652"/>
      <c r="K5" s="497"/>
      <c r="L5" s="652"/>
      <c r="M5" s="505"/>
      <c r="N5" s="497"/>
      <c r="O5" s="497"/>
      <c r="Q5" s="663"/>
    </row>
    <row r="6" spans="1:17" s="577" customFormat="1" ht="15" customHeight="1">
      <c r="A6" s="505"/>
      <c r="B6" s="497"/>
      <c r="C6" s="497"/>
      <c r="D6" s="497"/>
      <c r="E6" s="497"/>
      <c r="F6" s="497"/>
      <c r="G6" s="161" t="s">
        <v>20</v>
      </c>
      <c r="H6" s="159" t="s">
        <v>18</v>
      </c>
      <c r="I6" s="162"/>
      <c r="J6" s="160" t="s">
        <v>19</v>
      </c>
      <c r="K6" s="497"/>
      <c r="L6" s="652"/>
      <c r="M6" s="665"/>
      <c r="N6" s="664"/>
      <c r="O6" s="652"/>
      <c r="Q6" s="663"/>
    </row>
    <row r="7" spans="1:17" s="150" customFormat="1" ht="15" customHeight="1">
      <c r="B7" s="152"/>
      <c r="G7" s="162"/>
      <c r="H7" s="157" t="s">
        <v>128</v>
      </c>
      <c r="I7" s="158"/>
      <c r="J7" s="156" t="s">
        <v>128</v>
      </c>
      <c r="K7" s="497"/>
      <c r="L7" s="156"/>
      <c r="M7" s="521"/>
      <c r="N7" s="652"/>
      <c r="O7" s="662"/>
      <c r="P7" s="597"/>
    </row>
    <row r="8" spans="1:17" s="150" customFormat="1" ht="15" customHeight="1">
      <c r="A8" s="661"/>
      <c r="B8" s="153" t="s">
        <v>103</v>
      </c>
      <c r="C8" s="506"/>
      <c r="D8" s="151"/>
      <c r="E8" s="151"/>
      <c r="F8" s="151"/>
      <c r="G8" s="151"/>
      <c r="H8" s="151"/>
      <c r="I8" s="151"/>
      <c r="J8" s="151"/>
      <c r="K8" s="497"/>
      <c r="L8" s="652"/>
      <c r="M8" s="655"/>
      <c r="N8" s="497"/>
      <c r="O8" s="654"/>
      <c r="P8" s="656"/>
      <c r="Q8" s="653"/>
    </row>
    <row r="9" spans="1:17" s="150" customFormat="1" ht="15" customHeight="1">
      <c r="A9" s="650"/>
      <c r="B9" s="151" t="s">
        <v>104</v>
      </c>
      <c r="C9" s="151"/>
      <c r="D9" s="151"/>
      <c r="E9" s="151"/>
      <c r="F9" s="151"/>
      <c r="G9" s="151"/>
      <c r="H9" s="660">
        <f>CSCI!F44</f>
        <v>18019</v>
      </c>
      <c r="I9" s="659"/>
      <c r="J9" s="660">
        <f>CSCI!H62</f>
        <v>9654</v>
      </c>
      <c r="K9" s="497"/>
      <c r="L9" s="652"/>
      <c r="M9" s="655"/>
      <c r="N9" s="497"/>
      <c r="O9" s="654"/>
      <c r="P9" s="656"/>
      <c r="Q9" s="653"/>
    </row>
    <row r="10" spans="1:17" s="150" customFormat="1" ht="15" customHeight="1">
      <c r="A10" s="650"/>
      <c r="B10" s="158" t="s">
        <v>105</v>
      </c>
      <c r="C10" s="151"/>
      <c r="D10" s="151"/>
      <c r="E10" s="151"/>
      <c r="F10" s="151"/>
      <c r="G10" s="151"/>
      <c r="H10" s="660"/>
      <c r="I10" s="659"/>
      <c r="J10" s="529"/>
      <c r="K10" s="497"/>
      <c r="L10" s="652"/>
      <c r="M10" s="655"/>
      <c r="N10" s="497"/>
      <c r="O10" s="654"/>
      <c r="P10" s="656"/>
      <c r="Q10" s="653"/>
    </row>
    <row r="11" spans="1:17" s="150" customFormat="1" ht="15" customHeight="1">
      <c r="A11" s="650"/>
      <c r="B11" s="151" t="s">
        <v>106</v>
      </c>
      <c r="C11" s="151"/>
      <c r="D11" s="151"/>
      <c r="E11" s="151"/>
      <c r="F11" s="151"/>
      <c r="G11" s="151">
        <v>12</v>
      </c>
      <c r="H11" s="660">
        <f>'Note 12'!R24</f>
        <v>8715</v>
      </c>
      <c r="I11" s="659"/>
      <c r="J11" s="529">
        <f>CSCI!H28</f>
        <v>7717</v>
      </c>
      <c r="K11" s="497"/>
      <c r="L11" s="652"/>
      <c r="M11" s="655"/>
      <c r="N11" s="497"/>
      <c r="O11" s="654"/>
      <c r="P11" s="656"/>
      <c r="Q11" s="653"/>
    </row>
    <row r="12" spans="1:17" s="150" customFormat="1" ht="15" customHeight="1">
      <c r="A12" s="650"/>
      <c r="B12" s="151" t="s">
        <v>1114</v>
      </c>
      <c r="C12" s="151"/>
      <c r="D12" s="151"/>
      <c r="E12" s="151"/>
      <c r="F12" s="151"/>
      <c r="G12" s="151">
        <v>11</v>
      </c>
      <c r="H12" s="660">
        <f>-'Notes 8 -11'!E71</f>
        <v>2</v>
      </c>
      <c r="I12" s="659"/>
      <c r="J12" s="365">
        <v>0</v>
      </c>
      <c r="K12" s="497"/>
      <c r="L12" s="652"/>
      <c r="M12" s="655"/>
      <c r="N12" s="497"/>
      <c r="O12" s="654"/>
      <c r="P12" s="656"/>
      <c r="Q12" s="653"/>
    </row>
    <row r="13" spans="1:17" s="150" customFormat="1" ht="15" customHeight="1">
      <c r="A13" s="650"/>
      <c r="B13" s="151" t="s">
        <v>107</v>
      </c>
      <c r="C13" s="151"/>
      <c r="D13" s="151"/>
      <c r="E13" s="151"/>
      <c r="F13" s="151"/>
      <c r="G13" s="151">
        <v>15</v>
      </c>
      <c r="H13" s="660">
        <f>'Note 15-16'!L12</f>
        <v>-134</v>
      </c>
      <c r="I13" s="659"/>
      <c r="J13" s="529">
        <v>-456</v>
      </c>
      <c r="K13" s="497"/>
      <c r="L13" s="652"/>
      <c r="M13" s="655"/>
      <c r="N13" s="497"/>
      <c r="O13" s="654"/>
      <c r="P13" s="656"/>
      <c r="Q13" s="653"/>
    </row>
    <row r="14" spans="1:17" s="150" customFormat="1" ht="15" customHeight="1">
      <c r="A14" s="650"/>
      <c r="B14" s="151" t="s">
        <v>108</v>
      </c>
      <c r="C14" s="151"/>
      <c r="D14" s="151"/>
      <c r="E14" s="151"/>
      <c r="F14" s="151"/>
      <c r="G14" s="151">
        <v>11</v>
      </c>
      <c r="H14" s="756">
        <v>0</v>
      </c>
      <c r="I14" s="659"/>
      <c r="J14" s="365">
        <v>0</v>
      </c>
      <c r="K14" s="497"/>
      <c r="L14" s="652"/>
      <c r="M14" s="655"/>
      <c r="N14" s="497"/>
      <c r="O14" s="654"/>
      <c r="P14" s="656"/>
      <c r="Q14" s="653"/>
    </row>
    <row r="15" spans="1:17" s="150" customFormat="1" ht="15" customHeight="1">
      <c r="A15" s="650"/>
      <c r="B15" s="154" t="s">
        <v>34</v>
      </c>
      <c r="C15" s="151"/>
      <c r="D15" s="151"/>
      <c r="E15" s="151"/>
      <c r="F15" s="151"/>
      <c r="G15" s="151">
        <v>25</v>
      </c>
      <c r="H15" s="660">
        <f>-CSCI!F36</f>
        <v>112</v>
      </c>
      <c r="I15" s="659"/>
      <c r="J15" s="659">
        <f>-CSCI!H36</f>
        <v>-138</v>
      </c>
      <c r="K15" s="497"/>
      <c r="L15" s="652"/>
      <c r="M15" s="655"/>
      <c r="N15" s="497"/>
      <c r="O15" s="654"/>
      <c r="P15" s="656"/>
      <c r="Q15" s="653"/>
    </row>
    <row r="16" spans="1:17" s="150" customFormat="1" ht="15" customHeight="1">
      <c r="A16" s="650"/>
      <c r="B16" s="151" t="s">
        <v>109</v>
      </c>
      <c r="C16" s="151"/>
      <c r="D16" s="151"/>
      <c r="E16" s="151"/>
      <c r="F16" s="151"/>
      <c r="G16" s="151">
        <v>19</v>
      </c>
      <c r="H16" s="660">
        <f>'Balance Sheet'!O20-'Balance Sheet'!K20</f>
        <v>437</v>
      </c>
      <c r="I16" s="659"/>
      <c r="J16" s="529">
        <v>-169</v>
      </c>
      <c r="K16" s="497"/>
      <c r="L16" s="652"/>
      <c r="M16" s="655"/>
      <c r="N16" s="497"/>
      <c r="O16" s="654"/>
      <c r="P16" s="656"/>
      <c r="Q16" s="653"/>
    </row>
    <row r="17" spans="1:17" s="150" customFormat="1" ht="15" customHeight="1">
      <c r="A17" s="650"/>
      <c r="B17" s="151" t="s">
        <v>110</v>
      </c>
      <c r="C17" s="151"/>
      <c r="D17" s="151"/>
      <c r="E17" s="151"/>
      <c r="F17" s="151"/>
      <c r="G17" s="151">
        <v>20</v>
      </c>
      <c r="H17" s="660">
        <f>'Balance Sheet'!O21-'Balance Sheet'!K21</f>
        <v>4286</v>
      </c>
      <c r="I17" s="659"/>
      <c r="J17" s="529">
        <v>-264</v>
      </c>
      <c r="K17" s="497"/>
      <c r="L17" s="652"/>
      <c r="M17" s="655"/>
      <c r="N17" s="497"/>
      <c r="O17" s="654"/>
      <c r="P17" s="656"/>
      <c r="Q17" s="653"/>
    </row>
    <row r="18" spans="1:17" s="150" customFormat="1" ht="15" customHeight="1">
      <c r="A18" s="650"/>
      <c r="B18" s="151" t="s">
        <v>111</v>
      </c>
      <c r="C18" s="151"/>
      <c r="D18" s="151"/>
      <c r="E18" s="151"/>
      <c r="F18" s="151"/>
      <c r="G18" s="161">
        <v>22</v>
      </c>
      <c r="H18" s="660">
        <f>SUM('Note 19 - 22'!M60:M62)  - SUM('Note 19 - 22'!Q60:Q62) - 102-3500</f>
        <v>3455</v>
      </c>
      <c r="I18" s="659"/>
      <c r="J18" s="529">
        <f>7568+46-2-704</f>
        <v>6908</v>
      </c>
      <c r="K18" s="497"/>
      <c r="L18" s="652"/>
      <c r="M18" s="655"/>
      <c r="N18" s="497"/>
      <c r="O18" s="654"/>
      <c r="P18" s="656"/>
      <c r="Q18" s="653"/>
    </row>
    <row r="19" spans="1:17" s="150" customFormat="1" ht="15" customHeight="1">
      <c r="A19" s="650"/>
      <c r="B19" s="151" t="s">
        <v>1115</v>
      </c>
      <c r="C19" s="151"/>
      <c r="D19" s="151"/>
      <c r="E19" s="151"/>
      <c r="F19" s="151"/>
      <c r="G19" s="161">
        <v>24</v>
      </c>
      <c r="H19" s="660">
        <f>'Notes 23 &amp; 24'!P59-'Notes 23 &amp; 24'!P55 +CSCI!F47</f>
        <v>610</v>
      </c>
      <c r="I19" s="659"/>
      <c r="J19" s="529">
        <v>-757</v>
      </c>
      <c r="K19" s="497"/>
      <c r="L19" s="652"/>
      <c r="M19" s="655"/>
      <c r="N19" s="497"/>
      <c r="O19" s="654"/>
      <c r="P19" s="656"/>
      <c r="Q19" s="653"/>
    </row>
    <row r="20" spans="1:17" s="150" customFormat="1" ht="15" customHeight="1">
      <c r="A20" s="650"/>
      <c r="B20" s="155" t="s">
        <v>1116</v>
      </c>
      <c r="C20" s="155"/>
      <c r="D20" s="155"/>
      <c r="E20" s="151"/>
      <c r="F20" s="151"/>
      <c r="G20" s="164">
        <v>24</v>
      </c>
      <c r="H20" s="660">
        <f>('Balance Sheet'!O37-'Balance Sheet'!K37)</f>
        <v>-2242</v>
      </c>
      <c r="I20" s="659"/>
      <c r="J20" s="529">
        <v>-420</v>
      </c>
      <c r="K20" s="497"/>
      <c r="L20" s="652"/>
      <c r="M20" s="655"/>
      <c r="N20" s="497"/>
      <c r="O20" s="654"/>
      <c r="P20" s="656"/>
      <c r="Q20" s="653"/>
    </row>
    <row r="21" spans="1:17" s="150" customFormat="1" ht="15" customHeight="1">
      <c r="A21" s="650"/>
      <c r="B21" s="151" t="s">
        <v>112</v>
      </c>
      <c r="C21" s="151"/>
      <c r="D21" s="151"/>
      <c r="E21" s="151"/>
      <c r="F21" s="151"/>
      <c r="G21" s="151"/>
      <c r="H21" s="153">
        <v>-170</v>
      </c>
      <c r="I21" s="659"/>
      <c r="J21" s="156">
        <v>-20</v>
      </c>
      <c r="K21" s="497"/>
      <c r="L21" s="652"/>
      <c r="M21" s="655"/>
      <c r="N21" s="497"/>
      <c r="O21" s="654"/>
      <c r="P21" s="656"/>
      <c r="Q21" s="653"/>
    </row>
    <row r="22" spans="1:17" s="150" customFormat="1" ht="15" customHeight="1">
      <c r="A22" s="650"/>
      <c r="B22" s="154" t="s">
        <v>1130</v>
      </c>
      <c r="C22" s="151"/>
      <c r="D22" s="151"/>
      <c r="E22" s="151"/>
      <c r="F22" s="151"/>
      <c r="G22" s="151">
        <v>17</v>
      </c>
      <c r="H22" s="660">
        <f>-'Notes 17-18'!N16</f>
        <v>311</v>
      </c>
      <c r="I22" s="659"/>
      <c r="J22" s="156">
        <v>150</v>
      </c>
      <c r="K22" s="497"/>
      <c r="L22" s="652"/>
      <c r="M22" s="655"/>
      <c r="N22" s="497"/>
      <c r="O22" s="654"/>
      <c r="P22" s="656"/>
      <c r="Q22" s="653"/>
    </row>
    <row r="23" spans="1:17" s="150" customFormat="1" ht="15" customHeight="1">
      <c r="A23" s="650"/>
      <c r="B23" s="154" t="s">
        <v>1131</v>
      </c>
      <c r="C23" s="151"/>
      <c r="D23" s="151"/>
      <c r="E23" s="151"/>
      <c r="F23" s="151"/>
      <c r="G23" s="151">
        <v>18</v>
      </c>
      <c r="H23" s="660">
        <f>-CSCI!F38</f>
        <v>11</v>
      </c>
      <c r="I23" s="659"/>
      <c r="J23" s="156">
        <v>-10</v>
      </c>
      <c r="K23" s="497"/>
      <c r="L23" s="652"/>
      <c r="M23" s="655"/>
      <c r="N23" s="497"/>
      <c r="O23" s="654"/>
      <c r="P23" s="656"/>
      <c r="Q23" s="653"/>
    </row>
    <row r="24" spans="1:17" s="150" customFormat="1" ht="15" customHeight="1">
      <c r="A24" s="650"/>
      <c r="B24" s="158" t="s">
        <v>113</v>
      </c>
      <c r="C24" s="151"/>
      <c r="D24" s="151"/>
      <c r="E24" s="151"/>
      <c r="F24" s="151"/>
      <c r="G24" s="151"/>
      <c r="H24" s="660"/>
      <c r="I24" s="659"/>
      <c r="J24" s="156"/>
      <c r="K24" s="497"/>
      <c r="L24" s="652"/>
      <c r="M24" s="655"/>
      <c r="N24" s="497"/>
      <c r="O24" s="654"/>
      <c r="P24" s="656"/>
      <c r="Q24" s="653"/>
    </row>
    <row r="25" spans="1:17" s="150" customFormat="1" ht="15" customHeight="1">
      <c r="A25" s="650"/>
      <c r="B25" s="151" t="s">
        <v>16</v>
      </c>
      <c r="C25" s="151"/>
      <c r="D25" s="151"/>
      <c r="E25" s="151"/>
      <c r="F25" s="151"/>
      <c r="G25" s="151">
        <v>5</v>
      </c>
      <c r="H25" s="660">
        <f>-'Note 1 -6'!H72+'Note 1 -6'!H71</f>
        <v>-1725</v>
      </c>
      <c r="I25" s="659"/>
      <c r="J25" s="659">
        <f>-'Note 1 -6'!J72+'Note 1 -6'!J71</f>
        <v>-1903</v>
      </c>
      <c r="K25" s="497"/>
      <c r="L25" s="652"/>
      <c r="M25" s="655"/>
      <c r="N25" s="497"/>
      <c r="O25" s="654"/>
      <c r="P25" s="656"/>
      <c r="Q25" s="653"/>
    </row>
    <row r="26" spans="1:17" s="150" customFormat="1" ht="15" customHeight="1">
      <c r="A26" s="650"/>
      <c r="B26" s="151" t="s">
        <v>114</v>
      </c>
      <c r="C26" s="151"/>
      <c r="D26" s="151"/>
      <c r="E26" s="151"/>
      <c r="F26" s="151"/>
      <c r="G26" s="151">
        <v>8</v>
      </c>
      <c r="H26" s="660">
        <f>'Notes 8 -11'!E15-'Notes 8 -11'!E14</f>
        <v>2530</v>
      </c>
      <c r="I26" s="659"/>
      <c r="J26" s="659">
        <f>'Notes 8 -11'!G15-'Notes 8 -11'!G14</f>
        <v>3250</v>
      </c>
      <c r="K26" s="497"/>
      <c r="L26" s="652"/>
      <c r="M26" s="655"/>
      <c r="N26" s="497"/>
      <c r="O26" s="654"/>
      <c r="P26" s="656"/>
      <c r="Q26" s="653"/>
    </row>
    <row r="27" spans="1:17" s="150" customFormat="1" ht="15" customHeight="1">
      <c r="A27" s="650"/>
      <c r="B27" s="151" t="s">
        <v>1149</v>
      </c>
      <c r="C27" s="151"/>
      <c r="D27" s="151"/>
      <c r="E27" s="151"/>
      <c r="F27" s="151"/>
      <c r="G27" s="151"/>
      <c r="H27" s="660">
        <f>-'Note 1 -6'!H78</f>
        <v>-2123</v>
      </c>
      <c r="I27" s="659"/>
      <c r="J27" s="659">
        <f>-'Note 1 -6'!J78</f>
        <v>-1950</v>
      </c>
      <c r="K27" s="497"/>
      <c r="L27" s="652"/>
      <c r="M27" s="655"/>
      <c r="N27" s="497"/>
      <c r="O27" s="654"/>
      <c r="P27" s="656"/>
      <c r="Q27" s="653"/>
    </row>
    <row r="28" spans="1:17" s="150" customFormat="1" ht="15" customHeight="1">
      <c r="A28" s="650"/>
      <c r="B28" s="151" t="s">
        <v>115</v>
      </c>
      <c r="C28" s="151"/>
      <c r="D28" s="151"/>
      <c r="E28" s="151"/>
      <c r="F28" s="151"/>
      <c r="G28" s="151"/>
      <c r="H28" s="660">
        <f>-CSCI!F35</f>
        <v>-758</v>
      </c>
      <c r="I28" s="659"/>
      <c r="J28" s="156">
        <f>-CSCI!H35</f>
        <v>-758</v>
      </c>
      <c r="K28" s="497"/>
      <c r="L28" s="652"/>
      <c r="M28" s="655"/>
      <c r="N28" s="497"/>
      <c r="O28" s="654"/>
      <c r="P28" s="656"/>
      <c r="Q28" s="653"/>
    </row>
    <row r="29" spans="1:17" s="150" customFormat="1" ht="15" customHeight="1">
      <c r="A29" s="650"/>
      <c r="B29" s="151" t="s">
        <v>1204</v>
      </c>
      <c r="C29" s="151"/>
      <c r="D29" s="151"/>
      <c r="E29" s="151"/>
      <c r="F29" s="151"/>
      <c r="G29" s="151"/>
      <c r="H29" s="660">
        <f>-('Note 1 -6'!H27+'Note 1 -6'!H33+'Note 1 -6'!H58)</f>
        <v>-18848</v>
      </c>
      <c r="I29" s="659"/>
      <c r="J29" s="156">
        <f>-('Note 1 -6'!J27+'Note 1 -6'!J33+'Note 1 -6'!J58)</f>
        <v>-7582</v>
      </c>
      <c r="K29" s="497"/>
      <c r="L29" s="652"/>
      <c r="M29" s="655"/>
      <c r="N29" s="497"/>
      <c r="O29" s="654"/>
      <c r="P29" s="656"/>
      <c r="Q29" s="653"/>
    </row>
    <row r="30" spans="1:17" s="150" customFormat="1" ht="15" customHeight="1">
      <c r="A30" s="650"/>
      <c r="B30" s="158" t="s">
        <v>116</v>
      </c>
      <c r="C30" s="151"/>
      <c r="D30" s="151"/>
      <c r="E30" s="151"/>
      <c r="F30" s="151"/>
      <c r="G30" s="161"/>
      <c r="H30" s="658">
        <f>SUM(H9:H29)</f>
        <v>12488</v>
      </c>
      <c r="I30" s="657"/>
      <c r="J30" s="795">
        <f>SUM(J9:J29)</f>
        <v>13252</v>
      </c>
      <c r="K30" s="497"/>
      <c r="L30" s="652"/>
      <c r="M30" s="655"/>
      <c r="N30" s="497"/>
      <c r="O30" s="654"/>
      <c r="P30" s="656"/>
      <c r="Q30" s="653"/>
    </row>
    <row r="31" spans="1:17" s="150" customFormat="1" ht="15" customHeight="1">
      <c r="B31" s="152"/>
      <c r="K31" s="497"/>
      <c r="L31" s="652"/>
      <c r="M31" s="655"/>
      <c r="N31" s="497"/>
      <c r="O31" s="654"/>
      <c r="P31" s="656"/>
      <c r="Q31" s="653"/>
    </row>
    <row r="32" spans="1:17" s="150" customFormat="1" ht="15" customHeight="1">
      <c r="A32" s="650"/>
      <c r="B32" s="158" t="s">
        <v>117</v>
      </c>
      <c r="C32" s="151"/>
      <c r="D32" s="151"/>
      <c r="E32" s="151"/>
      <c r="F32" s="151"/>
      <c r="G32" s="151"/>
      <c r="H32" s="158"/>
      <c r="I32" s="151"/>
      <c r="J32" s="151"/>
      <c r="K32" s="497"/>
      <c r="L32" s="652"/>
      <c r="M32" s="655"/>
      <c r="N32" s="497"/>
      <c r="O32" s="654"/>
      <c r="P32" s="656"/>
      <c r="Q32" s="653"/>
    </row>
    <row r="33" spans="1:17" s="150" customFormat="1" ht="15" customHeight="1">
      <c r="A33" s="650"/>
      <c r="B33" s="151" t="s">
        <v>118</v>
      </c>
      <c r="C33" s="151"/>
      <c r="D33" s="151"/>
      <c r="E33" s="151"/>
      <c r="F33" s="151"/>
      <c r="G33" s="151"/>
      <c r="H33" s="153">
        <f>-'Note 12'!R14+'Note 12'!R26-CSCF!H28</f>
        <v>13428</v>
      </c>
      <c r="I33" s="151"/>
      <c r="J33" s="506">
        <v>2511</v>
      </c>
      <c r="K33" s="497"/>
      <c r="L33" s="652"/>
      <c r="M33" s="655"/>
      <c r="N33" s="497"/>
      <c r="O33" s="654"/>
      <c r="P33" s="597"/>
    </row>
    <row r="34" spans="1:17" s="150" customFormat="1" ht="15" customHeight="1">
      <c r="A34" s="650"/>
      <c r="B34" s="151" t="s">
        <v>1117</v>
      </c>
      <c r="C34" s="151"/>
      <c r="D34" s="151"/>
      <c r="E34" s="151"/>
      <c r="F34" s="151"/>
      <c r="G34" s="151"/>
      <c r="H34" s="153">
        <v>0</v>
      </c>
      <c r="I34" s="151"/>
      <c r="J34" s="506">
        <v>0</v>
      </c>
      <c r="K34" s="497"/>
      <c r="L34" s="652"/>
      <c r="M34" s="655"/>
      <c r="N34" s="497"/>
      <c r="O34" s="654"/>
      <c r="P34" s="597"/>
    </row>
    <row r="35" spans="1:17" s="150" customFormat="1" ht="15" customHeight="1">
      <c r="A35" s="650"/>
      <c r="B35" s="151" t="s">
        <v>1205</v>
      </c>
      <c r="C35" s="151"/>
      <c r="D35" s="151"/>
      <c r="E35" s="151"/>
      <c r="F35" s="151"/>
      <c r="G35" s="151"/>
      <c r="H35" s="153">
        <f>-H29+3500</f>
        <v>22348</v>
      </c>
      <c r="I35" s="151"/>
      <c r="J35" s="506">
        <f>-J29</f>
        <v>7582</v>
      </c>
      <c r="K35" s="497"/>
      <c r="L35" s="652"/>
      <c r="M35" s="655"/>
      <c r="N35" s="497"/>
      <c r="O35" s="654"/>
      <c r="P35" s="597"/>
    </row>
    <row r="36" spans="1:17" s="150" customFormat="1" ht="15" customHeight="1">
      <c r="A36" s="650"/>
      <c r="B36" s="151" t="s">
        <v>1118</v>
      </c>
      <c r="C36" s="151"/>
      <c r="D36" s="151"/>
      <c r="E36" s="151"/>
      <c r="F36" s="151"/>
      <c r="G36" s="151"/>
      <c r="H36" s="153">
        <f>-'Note 15-16'!L31</f>
        <v>46</v>
      </c>
      <c r="I36" s="151"/>
      <c r="J36" s="506">
        <v>-7</v>
      </c>
      <c r="K36" s="497"/>
      <c r="L36" s="652"/>
      <c r="M36" s="655"/>
      <c r="N36" s="497"/>
      <c r="O36" s="654"/>
      <c r="P36" s="597"/>
    </row>
    <row r="37" spans="1:17" s="150" customFormat="1" ht="15" customHeight="1">
      <c r="A37" s="650"/>
      <c r="B37" s="151" t="s">
        <v>119</v>
      </c>
      <c r="C37" s="151"/>
      <c r="D37" s="151"/>
      <c r="E37" s="151"/>
      <c r="F37" s="151"/>
      <c r="G37" s="151"/>
      <c r="H37" s="153">
        <f>'Note 19 - 22'!Q42-'Note 19 - 22'!M42-H42-H15</f>
        <v>9112</v>
      </c>
      <c r="I37" s="151"/>
      <c r="J37" s="506">
        <v>5025</v>
      </c>
      <c r="K37" s="497"/>
      <c r="L37" s="652"/>
      <c r="M37" s="655"/>
      <c r="N37" s="497"/>
      <c r="O37" s="654"/>
      <c r="P37" s="597"/>
    </row>
    <row r="38" spans="1:17" s="150" customFormat="1" ht="15" customHeight="1">
      <c r="A38" s="650"/>
      <c r="B38" s="151" t="s">
        <v>16</v>
      </c>
      <c r="C38" s="151"/>
      <c r="D38" s="151"/>
      <c r="E38" s="151"/>
      <c r="F38" s="151"/>
      <c r="G38" s="151"/>
      <c r="H38" s="153">
        <f>'Note 1 -6'!H72-'Note 1 -6'!H71</f>
        <v>1725</v>
      </c>
      <c r="I38" s="151"/>
      <c r="J38" s="506">
        <f>'Note 1 -6'!J72-'Note 1 -6'!J71</f>
        <v>1903</v>
      </c>
      <c r="K38" s="497"/>
      <c r="L38" s="652"/>
      <c r="M38" s="655"/>
      <c r="N38" s="497"/>
      <c r="O38" s="654"/>
      <c r="P38" s="597"/>
    </row>
    <row r="39" spans="1:17" s="496" customFormat="1" ht="15" customHeight="1">
      <c r="A39" s="650"/>
      <c r="B39" s="151" t="s">
        <v>120</v>
      </c>
      <c r="C39" s="151"/>
      <c r="D39" s="151"/>
      <c r="E39" s="151"/>
      <c r="F39" s="151"/>
      <c r="G39" s="151"/>
      <c r="H39" s="153">
        <f>-'Note 12'!R11-H21</f>
        <v>-46747</v>
      </c>
      <c r="I39" s="506"/>
      <c r="J39" s="506">
        <v>-18695</v>
      </c>
      <c r="K39" s="652"/>
      <c r="L39" s="156"/>
      <c r="M39" s="655"/>
      <c r="N39" s="497"/>
      <c r="O39" s="654"/>
      <c r="P39" s="597"/>
      <c r="Q39" s="653"/>
    </row>
    <row r="40" spans="1:17" s="496" customFormat="1" ht="15" customHeight="1">
      <c r="A40" s="650"/>
      <c r="B40" s="151" t="s">
        <v>1129</v>
      </c>
      <c r="C40" s="151"/>
      <c r="D40" s="151"/>
      <c r="E40" s="151"/>
      <c r="F40" s="151"/>
      <c r="G40" s="151"/>
      <c r="H40" s="153">
        <f>-'Notes 8 -11'!E70</f>
        <v>-10</v>
      </c>
      <c r="I40" s="506"/>
      <c r="J40" s="506">
        <v>0</v>
      </c>
      <c r="K40" s="652"/>
      <c r="L40" s="156"/>
      <c r="M40" s="655"/>
      <c r="N40" s="497"/>
      <c r="O40" s="654"/>
      <c r="P40" s="597"/>
      <c r="Q40" s="653"/>
    </row>
    <row r="41" spans="1:17" s="496" customFormat="1" ht="15" customHeight="1">
      <c r="A41" s="650"/>
      <c r="B41" s="151" t="s">
        <v>1119</v>
      </c>
      <c r="C41" s="151"/>
      <c r="D41" s="151"/>
      <c r="E41" s="151"/>
      <c r="F41" s="151"/>
      <c r="G41" s="151"/>
      <c r="H41" s="153">
        <f>'Note 15-16'!L30</f>
        <v>0</v>
      </c>
      <c r="I41" s="506"/>
      <c r="J41" s="506">
        <v>0</v>
      </c>
      <c r="K41" s="652"/>
      <c r="L41" s="156"/>
      <c r="M41" s="655"/>
      <c r="N41" s="497"/>
      <c r="O41" s="654"/>
      <c r="P41" s="597"/>
      <c r="Q41" s="653"/>
    </row>
    <row r="42" spans="1:17" s="496" customFormat="1" ht="15" customHeight="1">
      <c r="A42" s="650"/>
      <c r="B42" s="151" t="s">
        <v>1120</v>
      </c>
      <c r="C42" s="151"/>
      <c r="D42" s="151"/>
      <c r="E42" s="151"/>
      <c r="F42" s="151"/>
      <c r="G42" s="151"/>
      <c r="H42" s="153">
        <f>-'Note 25'!K17</f>
        <v>-2123</v>
      </c>
      <c r="I42" s="506"/>
      <c r="J42" s="506">
        <v>-1426</v>
      </c>
      <c r="K42" s="652"/>
      <c r="L42" s="156"/>
      <c r="M42" s="655"/>
      <c r="N42" s="497"/>
      <c r="O42" s="654"/>
      <c r="P42" s="597"/>
      <c r="Q42" s="653"/>
    </row>
    <row r="43" spans="1:17" s="496" customFormat="1" ht="15" customHeight="1">
      <c r="A43" s="650"/>
      <c r="B43" s="151"/>
      <c r="C43" s="151"/>
      <c r="D43" s="151"/>
      <c r="E43" s="151"/>
      <c r="F43" s="151"/>
      <c r="G43" s="151"/>
      <c r="H43" s="153"/>
      <c r="I43" s="506"/>
      <c r="J43" s="506"/>
      <c r="K43" s="652"/>
      <c r="L43" s="156"/>
      <c r="M43" s="655"/>
      <c r="N43" s="497"/>
      <c r="O43" s="654"/>
      <c r="P43" s="597"/>
      <c r="Q43" s="653"/>
    </row>
    <row r="44" spans="1:17" s="496" customFormat="1" ht="15" customHeight="1">
      <c r="A44" s="650"/>
      <c r="B44" s="151"/>
      <c r="C44" s="151"/>
      <c r="D44" s="151"/>
      <c r="E44" s="151"/>
      <c r="F44" s="151"/>
      <c r="G44" s="151"/>
      <c r="H44" s="649">
        <f>SUM(H33:H43)</f>
        <v>-2221</v>
      </c>
      <c r="I44" s="506"/>
      <c r="J44" s="648">
        <f>SUM(J33:J43)</f>
        <v>-3107</v>
      </c>
      <c r="K44" s="652"/>
      <c r="L44" s="156"/>
      <c r="M44" s="655"/>
      <c r="N44" s="497"/>
      <c r="O44" s="654"/>
      <c r="P44" s="597"/>
      <c r="Q44" s="653"/>
    </row>
    <row r="45" spans="1:17" s="496" customFormat="1" ht="15" customHeight="1">
      <c r="A45" s="650"/>
      <c r="B45" s="151"/>
      <c r="C45" s="151"/>
      <c r="D45" s="151"/>
      <c r="E45" s="151"/>
      <c r="F45" s="151"/>
      <c r="G45" s="151"/>
      <c r="H45" s="158"/>
      <c r="I45" s="151"/>
      <c r="J45" s="151"/>
      <c r="K45" s="652"/>
      <c r="L45" s="156"/>
      <c r="M45" s="655"/>
      <c r="N45" s="497"/>
      <c r="O45" s="654"/>
      <c r="P45" s="597"/>
      <c r="Q45" s="653"/>
    </row>
    <row r="46" spans="1:17" s="496" customFormat="1" ht="15" customHeight="1">
      <c r="A46" s="650"/>
      <c r="B46" s="158" t="s">
        <v>121</v>
      </c>
      <c r="C46" s="151"/>
      <c r="D46" s="151"/>
      <c r="E46" s="151"/>
      <c r="F46" s="151"/>
      <c r="G46" s="151"/>
      <c r="H46" s="158"/>
      <c r="I46" s="151"/>
      <c r="J46" s="151"/>
      <c r="K46" s="156"/>
      <c r="L46" s="156"/>
      <c r="M46" s="157"/>
      <c r="N46" s="497"/>
      <c r="O46" s="156"/>
      <c r="P46" s="597"/>
    </row>
    <row r="47" spans="1:17" ht="15" customHeight="1">
      <c r="A47" s="650"/>
      <c r="B47" s="151" t="s">
        <v>122</v>
      </c>
      <c r="C47" s="151"/>
      <c r="D47" s="151"/>
      <c r="E47" s="151"/>
      <c r="F47" s="151"/>
      <c r="G47" s="151"/>
      <c r="H47" s="153">
        <f>-'Notes 8 -11'!E10</f>
        <v>-2217</v>
      </c>
      <c r="I47" s="151"/>
      <c r="J47" s="153">
        <f>-'Notes 8 -11'!G15+'Notes 8 -11'!G11</f>
        <v>-3236</v>
      </c>
      <c r="K47" s="497"/>
      <c r="L47" s="652"/>
      <c r="M47" s="505"/>
      <c r="N47" s="497"/>
      <c r="O47" s="651"/>
    </row>
    <row r="48" spans="1:17" ht="15" customHeight="1">
      <c r="A48" s="650"/>
      <c r="B48" s="151" t="s">
        <v>1209</v>
      </c>
      <c r="C48" s="151"/>
      <c r="D48" s="151"/>
      <c r="E48" s="151"/>
      <c r="F48" s="151"/>
      <c r="G48" s="151"/>
      <c r="H48" s="153">
        <f>-'Notes 8 -11'!E11</f>
        <v>-240</v>
      </c>
      <c r="I48" s="506"/>
      <c r="J48" s="506">
        <f>-'Notes 8 -11'!G11</f>
        <v>-278</v>
      </c>
      <c r="K48" s="497"/>
      <c r="L48" s="652"/>
      <c r="M48" s="505"/>
      <c r="N48" s="497"/>
      <c r="O48" s="651"/>
    </row>
    <row r="49" spans="1:15" ht="15" customHeight="1">
      <c r="A49" s="650"/>
      <c r="B49" s="151" t="s">
        <v>1150</v>
      </c>
      <c r="C49" s="151"/>
      <c r="D49" s="151"/>
      <c r="E49" s="151"/>
      <c r="F49" s="151"/>
      <c r="G49" s="151"/>
      <c r="H49" s="153">
        <f>-H27</f>
        <v>2123</v>
      </c>
      <c r="I49" s="506"/>
      <c r="J49" s="506">
        <f>-J27</f>
        <v>1950</v>
      </c>
      <c r="K49" s="497"/>
      <c r="L49" s="652"/>
      <c r="M49" s="505"/>
      <c r="N49" s="497"/>
      <c r="O49" s="651"/>
    </row>
    <row r="50" spans="1:15" ht="15" customHeight="1">
      <c r="A50" s="650"/>
      <c r="B50" s="151" t="s">
        <v>123</v>
      </c>
      <c r="C50" s="151"/>
      <c r="D50" s="151"/>
      <c r="E50" s="151"/>
      <c r="F50" s="151"/>
      <c r="G50" s="151"/>
      <c r="H50" s="365">
        <v>0</v>
      </c>
      <c r="I50" s="151"/>
      <c r="J50" s="365">
        <v>0</v>
      </c>
      <c r="K50" s="497"/>
      <c r="L50" s="652"/>
      <c r="M50" s="505"/>
      <c r="N50" s="497"/>
      <c r="O50" s="651"/>
    </row>
    <row r="51" spans="1:15" ht="15" customHeight="1">
      <c r="A51" s="650"/>
      <c r="B51" s="151" t="s">
        <v>1121</v>
      </c>
      <c r="C51" s="151"/>
      <c r="D51" s="151"/>
      <c r="E51" s="151"/>
      <c r="F51" s="151"/>
      <c r="G51" s="151"/>
      <c r="H51" s="153">
        <f>'Notes 23 &amp; 24'!L15+'Note 19 - 22'!M57-'Note 19 - 22'!Q57</f>
        <v>34862</v>
      </c>
      <c r="I51" s="151"/>
      <c r="J51" s="365">
        <v>0</v>
      </c>
      <c r="K51" s="497"/>
      <c r="L51" s="652"/>
      <c r="M51" s="505"/>
      <c r="N51" s="497"/>
      <c r="O51" s="651"/>
    </row>
    <row r="52" spans="1:15" ht="15" customHeight="1">
      <c r="A52" s="650"/>
      <c r="B52" s="151" t="s">
        <v>124</v>
      </c>
      <c r="C52" s="151"/>
      <c r="D52" s="151"/>
      <c r="E52" s="151"/>
      <c r="F52" s="151"/>
      <c r="G52" s="151"/>
      <c r="H52" s="153">
        <f>-'Notes 23 &amp; 24'!P14-'Note 19 - 22'!Q56</f>
        <v>-53103</v>
      </c>
      <c r="I52" s="151"/>
      <c r="J52" s="506">
        <v>-1969</v>
      </c>
    </row>
    <row r="53" spans="1:15" ht="15" customHeight="1">
      <c r="A53" s="650"/>
      <c r="B53" s="151" t="s">
        <v>1210</v>
      </c>
      <c r="C53" s="151"/>
      <c r="D53" s="151"/>
      <c r="E53" s="151"/>
      <c r="F53" s="151"/>
      <c r="G53" s="151"/>
      <c r="H53" s="153">
        <f>'Note 19 - 22'!M58-'Note 19 - 22'!Q58+'Notes 23 &amp; 24'!L11-'Notes 23 &amp; 24'!P11</f>
        <v>-1124</v>
      </c>
      <c r="I53" s="151"/>
      <c r="J53" s="506">
        <f>10-1110</f>
        <v>-1100</v>
      </c>
    </row>
    <row r="54" spans="1:15" ht="15" customHeight="1">
      <c r="A54" s="650"/>
      <c r="B54" s="158"/>
      <c r="C54" s="151"/>
      <c r="D54" s="151"/>
      <c r="E54" s="151"/>
      <c r="F54" s="151"/>
      <c r="G54" s="151"/>
      <c r="H54" s="649">
        <f>SUM(H47:H53)</f>
        <v>-19699</v>
      </c>
      <c r="I54" s="506"/>
      <c r="J54" s="648">
        <f>SUM(J47:J53)</f>
        <v>-4633</v>
      </c>
    </row>
    <row r="55" spans="1:15" ht="15" customHeight="1">
      <c r="A55" s="151"/>
    </row>
    <row r="56" spans="1:15" ht="15" customHeight="1" thickBot="1">
      <c r="B56" s="152" t="s">
        <v>125</v>
      </c>
      <c r="H56" s="647">
        <f>H54+H44+H30</f>
        <v>-9432</v>
      </c>
      <c r="J56" s="646">
        <f>J54+J44+J30</f>
        <v>5512</v>
      </c>
    </row>
    <row r="57" spans="1:15" ht="15" customHeight="1" thickTop="1"/>
    <row r="58" spans="1:15" ht="15" customHeight="1">
      <c r="B58" s="150" t="s">
        <v>126</v>
      </c>
      <c r="G58" s="150">
        <v>27</v>
      </c>
      <c r="H58" s="153">
        <f>'Note 26 &amp; 27'!H46</f>
        <v>14924</v>
      </c>
      <c r="J58" s="151">
        <f>J59-J56</f>
        <v>9412</v>
      </c>
      <c r="O58" s="497"/>
    </row>
    <row r="59" spans="1:15" ht="15" customHeight="1">
      <c r="B59" s="150" t="s">
        <v>127</v>
      </c>
      <c r="G59" s="150">
        <v>27</v>
      </c>
      <c r="H59" s="153">
        <f>H58+H56</f>
        <v>5492</v>
      </c>
      <c r="J59" s="506">
        <f>H58</f>
        <v>14924</v>
      </c>
      <c r="O59" s="497"/>
    </row>
    <row r="60" spans="1:15" ht="15" customHeight="1">
      <c r="O60" s="150"/>
    </row>
    <row r="61" spans="1:15" ht="15" customHeight="1">
      <c r="H61" s="151"/>
      <c r="O61" s="150"/>
    </row>
    <row r="62" spans="1:15" ht="15" customHeight="1">
      <c r="H62" s="151"/>
      <c r="M62" s="158"/>
      <c r="N62" s="151"/>
      <c r="O62" s="151"/>
    </row>
    <row r="63" spans="1:15" ht="15" customHeight="1">
      <c r="O63" s="150"/>
    </row>
    <row r="64" spans="1:15" ht="15" customHeight="1">
      <c r="O64" s="150"/>
    </row>
    <row r="65" spans="1:17" ht="15" customHeight="1">
      <c r="B65" s="595"/>
      <c r="O65" s="150"/>
    </row>
    <row r="66" spans="1:17" ht="15" customHeight="1">
      <c r="B66" s="595"/>
      <c r="O66" s="150"/>
    </row>
    <row r="67" spans="1:17" s="150" customFormat="1" ht="15" customHeight="1">
      <c r="A67" s="496"/>
      <c r="B67" s="496"/>
      <c r="C67" s="496"/>
      <c r="D67" s="496"/>
      <c r="E67" s="496"/>
      <c r="F67" s="496"/>
      <c r="G67" s="496"/>
      <c r="H67" s="496"/>
      <c r="I67" s="496"/>
      <c r="J67" s="496"/>
      <c r="K67" s="496"/>
      <c r="L67" s="640"/>
      <c r="M67" s="639"/>
      <c r="N67" s="645"/>
    </row>
    <row r="68" spans="1:17" s="150" customFormat="1" ht="15" customHeight="1">
      <c r="A68" s="496"/>
      <c r="B68" s="639"/>
      <c r="C68" s="639"/>
      <c r="D68" s="496"/>
      <c r="E68" s="496"/>
      <c r="F68" s="496"/>
      <c r="G68" s="496"/>
      <c r="H68" s="496"/>
      <c r="I68" s="496"/>
      <c r="J68" s="496"/>
      <c r="K68" s="496"/>
      <c r="L68" s="640"/>
      <c r="M68" s="639"/>
      <c r="N68" s="496"/>
    </row>
    <row r="69" spans="1:17" s="150" customFormat="1" ht="15" customHeight="1">
      <c r="A69" s="496"/>
      <c r="B69" s="639"/>
      <c r="C69" s="639"/>
      <c r="D69" s="496"/>
      <c r="E69" s="496"/>
      <c r="F69" s="496"/>
      <c r="G69" s="496"/>
      <c r="H69" s="496"/>
      <c r="I69" s="496"/>
      <c r="J69" s="496"/>
      <c r="K69" s="496"/>
      <c r="L69" s="640"/>
      <c r="M69" s="639"/>
      <c r="N69" s="496"/>
    </row>
    <row r="70" spans="1:17" s="150" customFormat="1" ht="15" customHeight="1">
      <c r="A70" s="496"/>
      <c r="B70" s="496"/>
      <c r="C70" s="496"/>
      <c r="D70" s="496"/>
      <c r="E70" s="496"/>
      <c r="F70" s="496"/>
      <c r="G70" s="496"/>
      <c r="H70" s="496"/>
      <c r="I70" s="496"/>
      <c r="J70" s="496"/>
      <c r="K70" s="496"/>
      <c r="L70" s="640"/>
      <c r="M70" s="639"/>
      <c r="N70" s="641"/>
    </row>
    <row r="71" spans="1:17" s="496" customFormat="1" ht="15" customHeight="1">
      <c r="B71" s="639"/>
      <c r="L71" s="640"/>
      <c r="M71" s="639"/>
      <c r="N71" s="641"/>
    </row>
    <row r="72" spans="1:17" s="496" customFormat="1" ht="15" customHeight="1">
      <c r="L72" s="640"/>
      <c r="M72" s="639"/>
      <c r="N72" s="641"/>
    </row>
    <row r="73" spans="1:17" s="496" customFormat="1" ht="15" customHeight="1">
      <c r="L73" s="640"/>
      <c r="M73" s="639"/>
      <c r="N73" s="641"/>
    </row>
    <row r="74" spans="1:17" s="496" customFormat="1" ht="15" customHeight="1">
      <c r="L74" s="640"/>
      <c r="M74" s="639"/>
    </row>
    <row r="75" spans="1:17" s="496" customFormat="1" ht="15" customHeight="1">
      <c r="L75" s="640"/>
      <c r="M75" s="639"/>
    </row>
    <row r="76" spans="1:17" s="496" customFormat="1" ht="15" customHeight="1">
      <c r="L76" s="640"/>
      <c r="M76" s="639"/>
    </row>
    <row r="77" spans="1:17" s="496" customFormat="1" ht="15" customHeight="1">
      <c r="L77" s="640"/>
      <c r="M77" s="639"/>
    </row>
    <row r="78" spans="1:17" s="496" customFormat="1" ht="12" customHeight="1">
      <c r="L78" s="640"/>
      <c r="M78" s="639"/>
      <c r="N78" s="641"/>
    </row>
    <row r="79" spans="1:17" s="496" customFormat="1" ht="12" customHeight="1">
      <c r="L79" s="640"/>
      <c r="M79" s="639"/>
      <c r="Q79" s="495"/>
    </row>
    <row r="80" spans="1:17" s="496" customFormat="1" ht="12" customHeight="1">
      <c r="L80" s="640"/>
      <c r="M80" s="639"/>
      <c r="O80" s="640"/>
      <c r="P80" s="640"/>
      <c r="Q80" s="495"/>
    </row>
    <row r="81" spans="1:17" s="496" customFormat="1" ht="12" customHeight="1">
      <c r="L81" s="640"/>
      <c r="M81" s="639"/>
      <c r="O81" s="640"/>
      <c r="P81" s="640"/>
      <c r="Q81" s="495"/>
    </row>
    <row r="82" spans="1:17" s="496" customFormat="1" ht="12" customHeight="1">
      <c r="L82" s="640"/>
      <c r="M82" s="639"/>
      <c r="N82" s="641"/>
      <c r="O82" s="640"/>
      <c r="P82" s="640"/>
      <c r="Q82" s="495"/>
    </row>
    <row r="83" spans="1:17" s="496" customFormat="1" ht="12" customHeight="1">
      <c r="B83" s="639"/>
      <c r="L83" s="640"/>
      <c r="M83" s="639"/>
      <c r="N83" s="641"/>
      <c r="O83" s="640"/>
      <c r="P83" s="640"/>
    </row>
    <row r="84" spans="1:17" s="150" customFormat="1" ht="12" customHeight="1">
      <c r="A84" s="496"/>
      <c r="B84" s="639"/>
      <c r="C84" s="496"/>
      <c r="D84" s="496"/>
      <c r="E84" s="496"/>
      <c r="F84" s="496"/>
      <c r="G84" s="496"/>
      <c r="H84" s="496"/>
      <c r="I84" s="496"/>
      <c r="J84" s="496"/>
      <c r="K84" s="496"/>
      <c r="L84" s="640"/>
      <c r="M84" s="639"/>
      <c r="N84" s="496"/>
      <c r="O84" s="644"/>
      <c r="P84" s="644"/>
    </row>
    <row r="85" spans="1:17" s="150" customFormat="1" ht="12" customHeight="1">
      <c r="A85" s="496"/>
      <c r="B85" s="639"/>
      <c r="C85" s="496"/>
      <c r="D85" s="496"/>
      <c r="E85" s="496"/>
      <c r="F85" s="496"/>
      <c r="G85" s="496"/>
      <c r="H85" s="496"/>
      <c r="I85" s="496"/>
      <c r="J85" s="496"/>
      <c r="K85" s="496"/>
      <c r="L85" s="640"/>
      <c r="M85" s="639"/>
      <c r="N85" s="496"/>
      <c r="O85" s="644"/>
      <c r="P85" s="644"/>
    </row>
    <row r="86" spans="1:17" s="150" customFormat="1" ht="12" customHeight="1">
      <c r="A86" s="496"/>
      <c r="B86" s="639"/>
      <c r="C86" s="496"/>
      <c r="D86" s="496"/>
      <c r="E86" s="496"/>
      <c r="F86" s="496"/>
      <c r="G86" s="496"/>
      <c r="H86" s="496"/>
      <c r="I86" s="496"/>
      <c r="J86" s="496"/>
      <c r="K86" s="496"/>
      <c r="L86" s="640"/>
      <c r="M86" s="639"/>
      <c r="N86" s="496"/>
      <c r="O86" s="644"/>
      <c r="P86" s="644"/>
    </row>
    <row r="87" spans="1:17" s="150" customFormat="1" ht="12" customHeight="1">
      <c r="A87" s="496"/>
      <c r="B87" s="639"/>
      <c r="C87" s="496"/>
      <c r="D87" s="496"/>
      <c r="E87" s="496"/>
      <c r="F87" s="496"/>
      <c r="G87" s="496"/>
      <c r="H87" s="496"/>
      <c r="I87" s="496"/>
      <c r="J87" s="496"/>
      <c r="K87" s="496"/>
      <c r="L87" s="640"/>
      <c r="M87" s="639"/>
      <c r="N87" s="496"/>
      <c r="O87" s="644"/>
      <c r="P87" s="644"/>
    </row>
    <row r="88" spans="1:17" s="150" customFormat="1" ht="12" customHeight="1">
      <c r="A88" s="496"/>
      <c r="B88" s="639"/>
      <c r="C88" s="496"/>
      <c r="D88" s="496"/>
      <c r="E88" s="496"/>
      <c r="F88" s="496"/>
      <c r="G88" s="496"/>
      <c r="H88" s="496"/>
      <c r="I88" s="496"/>
      <c r="J88" s="496"/>
      <c r="K88" s="496"/>
      <c r="L88" s="640"/>
      <c r="M88" s="639"/>
      <c r="N88" s="496"/>
      <c r="O88" s="644"/>
      <c r="P88" s="644"/>
    </row>
    <row r="89" spans="1:17" s="150" customFormat="1" ht="12" customHeight="1">
      <c r="A89" s="496"/>
      <c r="B89" s="496"/>
      <c r="C89" s="496"/>
      <c r="D89" s="496"/>
      <c r="E89" s="496"/>
      <c r="F89" s="496"/>
      <c r="G89" s="496"/>
      <c r="H89" s="496"/>
      <c r="I89" s="496"/>
      <c r="J89" s="496"/>
      <c r="K89" s="496"/>
      <c r="L89" s="640"/>
      <c r="M89" s="639"/>
      <c r="N89" s="496"/>
    </row>
    <row r="90" spans="1:17" s="150" customFormat="1" ht="12" customHeight="1">
      <c r="A90" s="496"/>
      <c r="B90" s="496"/>
      <c r="C90" s="639"/>
      <c r="D90" s="496"/>
      <c r="E90" s="496"/>
      <c r="F90" s="496"/>
      <c r="G90" s="496"/>
      <c r="H90" s="496"/>
      <c r="I90" s="496"/>
      <c r="J90" s="496"/>
      <c r="K90" s="496"/>
      <c r="L90" s="640"/>
      <c r="M90" s="639"/>
      <c r="N90" s="496"/>
    </row>
    <row r="91" spans="1:17" s="150" customFormat="1" ht="12" customHeight="1">
      <c r="A91" s="496"/>
      <c r="B91" s="496"/>
      <c r="C91" s="496"/>
      <c r="D91" s="496"/>
      <c r="E91" s="496"/>
      <c r="F91" s="496"/>
      <c r="G91" s="496"/>
      <c r="H91" s="496"/>
      <c r="I91" s="496"/>
      <c r="J91" s="496"/>
      <c r="K91" s="496"/>
      <c r="L91" s="640"/>
      <c r="M91" s="639"/>
      <c r="N91" s="496"/>
    </row>
    <row r="92" spans="1:17" s="150" customFormat="1" ht="12" customHeight="1">
      <c r="A92" s="496"/>
      <c r="B92" s="496"/>
      <c r="C92" s="496"/>
      <c r="D92" s="496"/>
      <c r="E92" s="496"/>
      <c r="F92" s="496"/>
      <c r="G92" s="496"/>
      <c r="H92" s="496"/>
      <c r="I92" s="496"/>
      <c r="J92" s="496"/>
      <c r="K92" s="496"/>
      <c r="L92" s="640"/>
      <c r="M92" s="639"/>
      <c r="N92" s="496"/>
    </row>
    <row r="93" spans="1:17" s="150" customFormat="1" ht="12" customHeight="1">
      <c r="A93" s="496"/>
      <c r="B93" s="639"/>
      <c r="C93" s="496"/>
      <c r="D93" s="496"/>
      <c r="E93" s="496"/>
      <c r="F93" s="496"/>
      <c r="G93" s="496"/>
      <c r="H93" s="496"/>
      <c r="I93" s="496"/>
      <c r="J93" s="496"/>
      <c r="K93" s="496"/>
      <c r="L93" s="640"/>
      <c r="M93" s="639"/>
      <c r="N93" s="496"/>
    </row>
    <row r="94" spans="1:17" s="150" customFormat="1" ht="12" customHeight="1">
      <c r="A94" s="496"/>
      <c r="B94" s="496"/>
      <c r="C94" s="496"/>
      <c r="D94" s="496"/>
      <c r="E94" s="496"/>
      <c r="F94" s="496"/>
      <c r="G94" s="496"/>
      <c r="H94" s="496"/>
      <c r="I94" s="496"/>
      <c r="J94" s="496"/>
      <c r="K94" s="496"/>
      <c r="L94" s="640"/>
      <c r="M94" s="639"/>
      <c r="N94" s="496"/>
    </row>
    <row r="95" spans="1:17" s="150" customFormat="1" ht="12" customHeight="1">
      <c r="A95" s="496"/>
      <c r="B95" s="639"/>
      <c r="C95" s="496"/>
      <c r="D95" s="496"/>
      <c r="E95" s="496"/>
      <c r="F95" s="496"/>
      <c r="G95" s="496"/>
      <c r="H95" s="496"/>
      <c r="I95" s="496"/>
      <c r="J95" s="496"/>
      <c r="K95" s="496"/>
      <c r="L95" s="640"/>
      <c r="M95" s="639"/>
      <c r="N95" s="496"/>
    </row>
    <row r="96" spans="1:17" s="150" customFormat="1" ht="14.1" customHeight="1">
      <c r="A96" s="496"/>
      <c r="B96" s="496"/>
      <c r="C96" s="496"/>
      <c r="D96" s="496"/>
      <c r="E96" s="496"/>
      <c r="F96" s="496"/>
      <c r="G96" s="496"/>
      <c r="H96" s="496"/>
      <c r="I96" s="641"/>
      <c r="J96" s="641"/>
      <c r="K96" s="641"/>
      <c r="L96" s="643"/>
      <c r="M96" s="642"/>
      <c r="N96" s="641"/>
    </row>
    <row r="97" spans="1:17" s="150" customFormat="1" ht="14.1" customHeight="1">
      <c r="A97" s="496"/>
      <c r="B97" s="496"/>
      <c r="C97" s="496"/>
      <c r="D97" s="496"/>
      <c r="E97" s="496"/>
      <c r="F97" s="496"/>
      <c r="G97" s="496"/>
      <c r="H97" s="496"/>
      <c r="I97" s="496"/>
      <c r="J97" s="496"/>
      <c r="K97" s="496"/>
      <c r="L97" s="640"/>
      <c r="M97" s="639"/>
      <c r="N97" s="496"/>
    </row>
    <row r="98" spans="1:17" s="150" customFormat="1" ht="12.95" customHeight="1">
      <c r="A98" s="496"/>
      <c r="B98" s="496"/>
      <c r="C98" s="496"/>
      <c r="D98" s="496"/>
      <c r="E98" s="496"/>
      <c r="F98" s="496"/>
      <c r="G98" s="496"/>
      <c r="H98" s="496"/>
      <c r="I98" s="496"/>
      <c r="J98" s="496"/>
      <c r="K98" s="496"/>
      <c r="L98" s="640"/>
      <c r="M98" s="639"/>
      <c r="N98" s="496"/>
    </row>
    <row r="99" spans="1:17" s="150" customFormat="1" ht="12" customHeight="1">
      <c r="A99" s="496"/>
      <c r="B99" s="496"/>
      <c r="C99" s="496"/>
      <c r="D99" s="496"/>
      <c r="E99" s="496"/>
      <c r="F99" s="496"/>
      <c r="G99" s="496"/>
      <c r="H99" s="496"/>
      <c r="I99" s="496"/>
      <c r="J99" s="496"/>
      <c r="K99" s="496"/>
      <c r="L99" s="640"/>
      <c r="M99" s="639"/>
      <c r="N99" s="496"/>
    </row>
    <row r="100" spans="1:17" s="150" customFormat="1" ht="12" customHeight="1">
      <c r="A100" s="638"/>
      <c r="B100" s="496"/>
      <c r="C100" s="496"/>
      <c r="D100" s="496"/>
      <c r="E100" s="496"/>
      <c r="F100" s="496"/>
      <c r="G100" s="496"/>
      <c r="H100" s="496"/>
      <c r="I100" s="496"/>
      <c r="J100" s="496"/>
      <c r="K100" s="496"/>
      <c r="L100" s="640"/>
      <c r="M100" s="639"/>
      <c r="N100" s="496"/>
    </row>
    <row r="101" spans="1:17" s="150" customFormat="1" ht="12" customHeight="1">
      <c r="A101" s="638"/>
      <c r="B101" s="496"/>
      <c r="C101" s="496"/>
      <c r="D101" s="496"/>
      <c r="E101" s="496"/>
      <c r="F101" s="496"/>
      <c r="G101" s="496"/>
      <c r="H101" s="496"/>
      <c r="I101" s="496"/>
      <c r="J101" s="496"/>
      <c r="K101" s="496"/>
      <c r="L101" s="640"/>
      <c r="M101" s="639"/>
      <c r="N101" s="496"/>
    </row>
    <row r="102" spans="1:17" s="150" customFormat="1" ht="12" customHeight="1">
      <c r="A102" s="496"/>
      <c r="B102" s="496"/>
      <c r="C102" s="496"/>
      <c r="D102" s="496"/>
      <c r="E102" s="496"/>
      <c r="F102" s="496"/>
      <c r="G102" s="496"/>
      <c r="H102" s="496"/>
      <c r="I102" s="496"/>
      <c r="J102" s="496"/>
      <c r="K102" s="496"/>
      <c r="L102" s="640"/>
      <c r="M102" s="639"/>
      <c r="N102" s="496"/>
    </row>
    <row r="103" spans="1:17" s="150" customFormat="1" ht="12" customHeight="1">
      <c r="A103" s="496"/>
      <c r="B103" s="496"/>
      <c r="C103" s="496"/>
      <c r="D103" s="496"/>
      <c r="E103" s="496"/>
      <c r="F103" s="496"/>
      <c r="G103" s="496"/>
      <c r="H103" s="496"/>
      <c r="I103" s="496"/>
      <c r="J103" s="496"/>
      <c r="K103" s="496"/>
      <c r="L103" s="640"/>
      <c r="M103" s="639"/>
      <c r="N103" s="496"/>
    </row>
    <row r="104" spans="1:17" s="150" customFormat="1" ht="12" customHeight="1">
      <c r="L104" s="162"/>
      <c r="M104" s="152"/>
    </row>
    <row r="105" spans="1:17" s="150" customFormat="1" ht="15.95" customHeight="1">
      <c r="A105" s="638"/>
      <c r="L105" s="162"/>
      <c r="M105" s="152"/>
    </row>
    <row r="106" spans="1:17" ht="12" customHeight="1">
      <c r="A106" s="638"/>
    </row>
    <row r="107" spans="1:17" ht="12" customHeight="1">
      <c r="A107" s="638"/>
    </row>
    <row r="108" spans="1:17" s="150" customFormat="1" ht="12" customHeight="1">
      <c r="A108" s="638"/>
      <c r="L108" s="162"/>
      <c r="M108" s="152"/>
      <c r="O108" s="495"/>
      <c r="P108" s="495"/>
      <c r="Q108" s="495"/>
    </row>
    <row r="109" spans="1:17" s="150" customFormat="1" ht="12" customHeight="1">
      <c r="A109" s="638"/>
      <c r="L109" s="162"/>
      <c r="M109" s="152"/>
      <c r="O109" s="495"/>
      <c r="P109" s="495"/>
      <c r="Q109" s="495"/>
    </row>
    <row r="110" spans="1:17" s="150" customFormat="1" ht="12" customHeight="1">
      <c r="L110" s="162"/>
      <c r="M110" s="152"/>
      <c r="O110" s="495"/>
      <c r="P110" s="495"/>
      <c r="Q110" s="495"/>
    </row>
    <row r="111" spans="1:17" ht="12" customHeight="1"/>
    <row r="112" spans="1:17" ht="12" customHeight="1"/>
    <row r="113" ht="12" customHeight="1"/>
    <row r="114" ht="12" customHeight="1"/>
    <row r="115" ht="12" customHeight="1"/>
    <row r="116" ht="12" customHeight="1"/>
    <row r="117" ht="12" customHeight="1"/>
    <row r="118" ht="12" customHeight="1"/>
    <row r="119" ht="12" customHeight="1"/>
    <row r="120" ht="12" customHeight="1"/>
  </sheetData>
  <pageMargins left="0.70866141732283472" right="0.70866141732283472" top="0.74803149606299213" bottom="0.74803149606299213" header="0.31496062992125984" footer="0.31496062992125984"/>
  <pageSetup paperSize="9" scale="83" orientation="portrait" r:id="rId1"/>
  <headerFooter>
    <oddFooter>&amp;C&amp;P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7"/>
  <sheetViews>
    <sheetView view="pageBreakPreview" zoomScale="60" zoomScaleNormal="100" workbookViewId="0">
      <selection activeCell="B77" sqref="B77"/>
    </sheetView>
  </sheetViews>
  <sheetFormatPr defaultRowHeight="15"/>
  <cols>
    <col min="1" max="1" width="3.42578125" customWidth="1"/>
    <col min="2" max="2" width="9.140625" customWidth="1"/>
    <col min="4" max="4" width="9.140625" customWidth="1"/>
    <col min="5" max="5" width="10.28515625" customWidth="1"/>
    <col min="7" max="7" width="13" customWidth="1"/>
    <col min="14" max="14" width="10.140625" customWidth="1"/>
  </cols>
  <sheetData>
    <row r="1" spans="1:15" ht="19.5">
      <c r="A1" s="145" t="s">
        <v>987</v>
      </c>
    </row>
    <row r="2" spans="1:15">
      <c r="A2" s="167" t="s">
        <v>129</v>
      </c>
    </row>
    <row r="3" spans="1:15" ht="15.75" thickBot="1">
      <c r="A3" s="170"/>
      <c r="B3" s="170"/>
      <c r="C3" s="170"/>
      <c r="D3" s="170"/>
      <c r="E3" s="170"/>
      <c r="F3" s="170"/>
      <c r="G3" s="170"/>
      <c r="H3" s="170"/>
      <c r="I3" s="170"/>
      <c r="J3" s="170"/>
      <c r="K3" s="170"/>
      <c r="L3" s="170"/>
      <c r="M3" s="170"/>
      <c r="N3" s="170"/>
      <c r="O3" s="170"/>
    </row>
    <row r="4" spans="1:15">
      <c r="A4" s="178"/>
    </row>
    <row r="5" spans="1:15" ht="15.75">
      <c r="A5" s="169" t="s">
        <v>130</v>
      </c>
      <c r="B5" s="172" t="s">
        <v>131</v>
      </c>
    </row>
    <row r="6" spans="1:15" ht="15.75">
      <c r="A6" s="169"/>
      <c r="B6" s="172"/>
    </row>
    <row r="7" spans="1:15" ht="15.75">
      <c r="A7" s="178"/>
      <c r="B7" s="44" t="s">
        <v>132</v>
      </c>
    </row>
    <row r="8" spans="1:15" ht="15.75">
      <c r="A8" s="178"/>
      <c r="B8" s="44" t="s">
        <v>1039</v>
      </c>
    </row>
    <row r="9" spans="1:15" ht="15.75">
      <c r="A9" s="178"/>
      <c r="B9" s="44" t="s">
        <v>1041</v>
      </c>
    </row>
    <row r="10" spans="1:15" ht="15.75">
      <c r="A10" s="178"/>
      <c r="B10" s="44" t="s">
        <v>1040</v>
      </c>
    </row>
    <row r="11" spans="1:15" ht="15.75">
      <c r="A11" s="178"/>
      <c r="B11" s="44"/>
    </row>
    <row r="12" spans="1:15" ht="15.75">
      <c r="A12" s="169" t="s">
        <v>133</v>
      </c>
      <c r="B12" s="172" t="s">
        <v>134</v>
      </c>
    </row>
    <row r="13" spans="1:15" ht="15.75">
      <c r="A13" s="178"/>
      <c r="B13" s="44"/>
    </row>
    <row r="14" spans="1:15" ht="15.75">
      <c r="A14" s="178"/>
      <c r="B14" s="44" t="s">
        <v>135</v>
      </c>
    </row>
    <row r="15" spans="1:15" ht="15.75">
      <c r="A15" s="178"/>
      <c r="B15" s="44" t="s">
        <v>136</v>
      </c>
    </row>
    <row r="16" spans="1:15" ht="15.75">
      <c r="A16" s="178"/>
      <c r="B16" s="44" t="s">
        <v>137</v>
      </c>
    </row>
    <row r="17" spans="1:2" ht="15.75">
      <c r="A17" s="178"/>
      <c r="B17" s="44"/>
    </row>
    <row r="18" spans="1:2" ht="15.75">
      <c r="A18" s="178"/>
      <c r="B18" s="44" t="s">
        <v>1042</v>
      </c>
    </row>
    <row r="19" spans="1:2" ht="15.75">
      <c r="A19" s="178"/>
      <c r="B19" s="44" t="s">
        <v>1043</v>
      </c>
    </row>
    <row r="20" spans="1:2" ht="15.75">
      <c r="A20" s="178"/>
      <c r="B20" s="44"/>
    </row>
    <row r="21" spans="1:2" ht="15.75">
      <c r="A21" s="178"/>
      <c r="B21" s="44" t="s">
        <v>1044</v>
      </c>
    </row>
    <row r="22" spans="1:2" ht="15.75">
      <c r="A22" s="178"/>
      <c r="B22" s="44"/>
    </row>
    <row r="23" spans="1:2" ht="15.75">
      <c r="A23" s="168" t="s">
        <v>138</v>
      </c>
      <c r="B23" s="172" t="s">
        <v>139</v>
      </c>
    </row>
    <row r="24" spans="1:2" ht="15.75">
      <c r="B24" s="44"/>
    </row>
    <row r="25" spans="1:2" ht="15.75">
      <c r="B25" s="44" t="s">
        <v>140</v>
      </c>
    </row>
    <row r="26" spans="1:2" ht="15.75">
      <c r="B26" s="44" t="s">
        <v>141</v>
      </c>
    </row>
    <row r="27" spans="1:2" ht="15.75">
      <c r="B27" s="44"/>
    </row>
    <row r="28" spans="1:2" ht="15.75">
      <c r="B28" s="44" t="s">
        <v>142</v>
      </c>
    </row>
    <row r="29" spans="1:2" ht="15.75">
      <c r="B29" s="44" t="s">
        <v>143</v>
      </c>
    </row>
    <row r="30" spans="1:2" ht="15.75">
      <c r="B30" s="44" t="s">
        <v>144</v>
      </c>
    </row>
    <row r="31" spans="1:2" ht="15.75">
      <c r="B31" s="44" t="s">
        <v>145</v>
      </c>
    </row>
    <row r="32" spans="1:2" ht="15.75">
      <c r="B32" s="44"/>
    </row>
    <row r="33" spans="2:2" ht="15.75">
      <c r="B33" s="44" t="s">
        <v>157</v>
      </c>
    </row>
    <row r="34" spans="2:2" ht="15.75">
      <c r="B34" s="44"/>
    </row>
    <row r="35" spans="2:2" ht="15.75">
      <c r="B35" s="44" t="s">
        <v>146</v>
      </c>
    </row>
    <row r="36" spans="2:2" ht="15.75">
      <c r="B36" s="44" t="s">
        <v>147</v>
      </c>
    </row>
    <row r="37" spans="2:2" ht="15.75">
      <c r="B37" s="44"/>
    </row>
    <row r="38" spans="2:2" ht="15.75">
      <c r="B38" s="172" t="s">
        <v>1045</v>
      </c>
    </row>
    <row r="39" spans="2:2" ht="15.75">
      <c r="B39" s="44"/>
    </row>
    <row r="40" spans="2:2" s="751" customFormat="1" ht="15.75">
      <c r="B40" s="752" t="s">
        <v>1049</v>
      </c>
    </row>
    <row r="41" spans="2:2" ht="15.75">
      <c r="B41" s="44" t="s">
        <v>1046</v>
      </c>
    </row>
    <row r="42" spans="2:2" ht="15.75">
      <c r="B42" s="44" t="s">
        <v>1047</v>
      </c>
    </row>
    <row r="43" spans="2:2" ht="15.75">
      <c r="B43" s="44" t="s">
        <v>1054</v>
      </c>
    </row>
    <row r="44" spans="2:2" s="44" customFormat="1">
      <c r="B44" s="44" t="s">
        <v>1055</v>
      </c>
    </row>
    <row r="45" spans="2:2" s="44" customFormat="1"/>
    <row r="46" spans="2:2" s="752" customFormat="1">
      <c r="B46" s="752" t="s">
        <v>1048</v>
      </c>
    </row>
    <row r="47" spans="2:2" ht="15.75">
      <c r="B47" s="44" t="s">
        <v>1050</v>
      </c>
    </row>
    <row r="48" spans="2:2" ht="15.75">
      <c r="B48" s="44" t="s">
        <v>1053</v>
      </c>
    </row>
    <row r="49" spans="2:13" ht="15.75">
      <c r="B49" s="44" t="s">
        <v>1051</v>
      </c>
    </row>
    <row r="50" spans="2:13" ht="15.75">
      <c r="B50" s="44" t="s">
        <v>1052</v>
      </c>
    </row>
    <row r="51" spans="2:13" ht="15.75">
      <c r="B51" s="44"/>
    </row>
    <row r="52" spans="2:13" ht="15.75">
      <c r="B52" s="44" t="s">
        <v>1056</v>
      </c>
    </row>
    <row r="53" spans="2:13" ht="15.75">
      <c r="B53" s="44" t="s">
        <v>1057</v>
      </c>
    </row>
    <row r="54" spans="2:13" ht="15.75">
      <c r="B54" s="44" t="s">
        <v>1058</v>
      </c>
    </row>
    <row r="55" spans="2:13" ht="15.75">
      <c r="B55" s="44"/>
    </row>
    <row r="56" spans="2:13" ht="15.75">
      <c r="B56" s="172" t="s">
        <v>17</v>
      </c>
    </row>
    <row r="57" spans="2:13" ht="15.75">
      <c r="B57" s="44"/>
    </row>
    <row r="58" spans="2:13" ht="15.75">
      <c r="B58" s="44" t="s">
        <v>149</v>
      </c>
    </row>
    <row r="59" spans="2:13" ht="15.75">
      <c r="B59" s="44" t="s">
        <v>1059</v>
      </c>
    </row>
    <row r="60" spans="2:13" ht="15.75">
      <c r="B60" s="44" t="s">
        <v>1060</v>
      </c>
    </row>
    <row r="61" spans="2:13" ht="15.75">
      <c r="B61" s="44" t="s">
        <v>1061</v>
      </c>
    </row>
    <row r="62" spans="2:13" ht="15.75">
      <c r="B62" s="44"/>
      <c r="M62" t="s">
        <v>362</v>
      </c>
    </row>
    <row r="63" spans="2:13" ht="15.75">
      <c r="B63" s="44" t="s">
        <v>1062</v>
      </c>
    </row>
    <row r="64" spans="2:13" ht="15.75">
      <c r="B64" s="44"/>
    </row>
    <row r="65" spans="2:2" ht="15.75">
      <c r="B65" s="44" t="s">
        <v>1063</v>
      </c>
    </row>
    <row r="66" spans="2:2" ht="15.75">
      <c r="B66" s="44" t="s">
        <v>150</v>
      </c>
    </row>
    <row r="67" spans="2:2" ht="15.75">
      <c r="B67" s="44"/>
    </row>
    <row r="68" spans="2:2" ht="15.75">
      <c r="B68" s="44" t="s">
        <v>1064</v>
      </c>
    </row>
    <row r="69" spans="2:2" ht="15.75">
      <c r="B69" s="44" t="s">
        <v>151</v>
      </c>
    </row>
    <row r="70" spans="2:2" ht="15.75">
      <c r="B70" s="44" t="s">
        <v>1065</v>
      </c>
    </row>
    <row r="71" spans="2:2" ht="15.75">
      <c r="B71" s="44" t="s">
        <v>152</v>
      </c>
    </row>
    <row r="72" spans="2:2" ht="15.75">
      <c r="B72" s="44" t="s">
        <v>153</v>
      </c>
    </row>
    <row r="73" spans="2:2" ht="15.75">
      <c r="B73" s="44" t="s">
        <v>1066</v>
      </c>
    </row>
    <row r="74" spans="2:2" ht="15.75">
      <c r="B74" s="44" t="s">
        <v>154</v>
      </c>
    </row>
    <row r="75" spans="2:2" ht="15.75">
      <c r="B75" s="44" t="s">
        <v>155</v>
      </c>
    </row>
    <row r="76" spans="2:2" ht="15.75">
      <c r="B76" s="44"/>
    </row>
    <row r="77" spans="2:2">
      <c r="B77" t="s">
        <v>1192</v>
      </c>
    </row>
    <row r="78" spans="2:2" ht="15.75">
      <c r="B78" s="44"/>
    </row>
    <row r="79" spans="2:2" ht="15.75">
      <c r="B79" s="44"/>
    </row>
    <row r="80" spans="2:2" ht="15.75">
      <c r="B80" s="44"/>
    </row>
    <row r="81" spans="2:2" ht="15.75">
      <c r="B81" s="44"/>
    </row>
    <row r="82" spans="2:2" ht="15.75">
      <c r="B82" s="44"/>
    </row>
    <row r="83" spans="2:2" ht="15.75">
      <c r="B83" s="44"/>
    </row>
    <row r="84" spans="2:2" ht="15.75">
      <c r="B84" s="44"/>
    </row>
    <row r="85" spans="2:2" ht="15.75">
      <c r="B85" s="44"/>
    </row>
    <row r="86" spans="2:2" ht="15.75">
      <c r="B86" s="44"/>
    </row>
    <row r="87" spans="2:2" ht="15.75">
      <c r="B87" s="44"/>
    </row>
    <row r="88" spans="2:2" ht="15.75">
      <c r="B88" s="44"/>
    </row>
    <row r="89" spans="2:2" ht="15.75">
      <c r="B89" s="44"/>
    </row>
    <row r="90" spans="2:2" ht="15.75">
      <c r="B90" s="44"/>
    </row>
    <row r="91" spans="2:2" ht="15.75">
      <c r="B91" s="44"/>
    </row>
    <row r="92" spans="2:2" ht="15.75">
      <c r="B92" s="44"/>
    </row>
    <row r="93" spans="2:2" ht="15.75">
      <c r="B93" s="44"/>
    </row>
    <row r="94" spans="2:2" ht="15.75">
      <c r="B94" s="44"/>
    </row>
    <row r="95" spans="2:2" ht="15.75">
      <c r="B95" s="44"/>
    </row>
    <row r="96" spans="2:2" ht="15.75">
      <c r="B96" s="44"/>
    </row>
    <row r="97" spans="2:2" ht="15.75">
      <c r="B97" s="44"/>
    </row>
    <row r="98" spans="2:2" ht="15.75">
      <c r="B98" s="44"/>
    </row>
    <row r="99" spans="2:2" ht="15.75">
      <c r="B99" s="44"/>
    </row>
    <row r="100" spans="2:2" ht="15.75">
      <c r="B100" s="44"/>
    </row>
    <row r="101" spans="2:2" ht="15.75">
      <c r="B101" s="44"/>
    </row>
    <row r="102" spans="2:2" ht="15.75">
      <c r="B102" s="44"/>
    </row>
    <row r="103" spans="2:2" ht="15.75">
      <c r="B103" s="44"/>
    </row>
    <row r="104" spans="2:2" ht="15.75">
      <c r="B104" s="44"/>
    </row>
    <row r="105" spans="2:2" ht="15.75">
      <c r="B105" s="44"/>
    </row>
    <row r="106" spans="2:2" ht="15.75">
      <c r="B106" s="44"/>
    </row>
    <row r="107" spans="2:2" ht="15.75">
      <c r="B107" s="44"/>
    </row>
    <row r="108" spans="2:2" ht="15.75">
      <c r="B108" s="44"/>
    </row>
    <row r="109" spans="2:2" ht="15.75">
      <c r="B109" s="44"/>
    </row>
    <row r="110" spans="2:2" ht="15.75">
      <c r="B110" s="44"/>
    </row>
    <row r="111" spans="2:2" ht="15.75">
      <c r="B111" s="44"/>
    </row>
    <row r="112" spans="2:2" ht="15.75">
      <c r="B112" s="44"/>
    </row>
    <row r="113" spans="2:2" ht="15.75">
      <c r="B113" s="44"/>
    </row>
    <row r="114" spans="2:2" ht="15.75">
      <c r="B114" s="44"/>
    </row>
    <row r="115" spans="2:2" ht="15.75">
      <c r="B115" s="44"/>
    </row>
    <row r="116" spans="2:2" ht="15.75">
      <c r="B116" s="44"/>
    </row>
    <row r="117" spans="2:2" ht="15.75">
      <c r="B117" s="44"/>
    </row>
    <row r="118" spans="2:2" ht="15.75">
      <c r="B118" s="44"/>
    </row>
    <row r="119" spans="2:2" ht="15.75">
      <c r="B119" s="44"/>
    </row>
    <row r="120" spans="2:2" ht="15.75">
      <c r="B120" s="44"/>
    </row>
    <row r="121" spans="2:2" ht="15.75">
      <c r="B121" s="44"/>
    </row>
    <row r="122" spans="2:2" ht="15.75">
      <c r="B122" s="44"/>
    </row>
    <row r="123" spans="2:2" ht="15.75">
      <c r="B123" s="44"/>
    </row>
    <row r="124" spans="2:2" ht="15.75">
      <c r="B124" s="44"/>
    </row>
    <row r="125" spans="2:2" ht="15.75">
      <c r="B125" s="44"/>
    </row>
    <row r="126" spans="2:2" ht="15.75">
      <c r="B126" s="44"/>
    </row>
    <row r="127" spans="2:2" ht="15.75">
      <c r="B127" s="44"/>
    </row>
    <row r="128" spans="2:2" ht="15.75">
      <c r="B128" s="44"/>
    </row>
    <row r="129" spans="2:2" ht="15.75">
      <c r="B129" s="44"/>
    </row>
    <row r="130" spans="2:2" ht="15.75">
      <c r="B130" s="44"/>
    </row>
    <row r="131" spans="2:2" ht="15.75">
      <c r="B131" s="44"/>
    </row>
    <row r="132" spans="2:2" ht="15.75">
      <c r="B132" s="44"/>
    </row>
    <row r="133" spans="2:2" ht="15.75">
      <c r="B133" s="44"/>
    </row>
    <row r="134" spans="2:2" ht="15.75">
      <c r="B134" s="44"/>
    </row>
    <row r="135" spans="2:2" ht="15.75">
      <c r="B135" s="44"/>
    </row>
    <row r="136" spans="2:2" ht="15.75">
      <c r="B136" s="44"/>
    </row>
    <row r="137" spans="2:2" ht="15.75">
      <c r="B137" s="44"/>
    </row>
    <row r="138" spans="2:2" ht="15.75">
      <c r="B138" s="44"/>
    </row>
    <row r="139" spans="2:2" ht="15.75">
      <c r="B139" s="44"/>
    </row>
    <row r="140" spans="2:2" ht="15.75">
      <c r="B140" s="44"/>
    </row>
    <row r="141" spans="2:2" ht="15.75">
      <c r="B141" s="44"/>
    </row>
    <row r="142" spans="2:2" ht="15.75">
      <c r="B142" s="44"/>
    </row>
    <row r="143" spans="2:2" ht="15.75">
      <c r="B143" s="44"/>
    </row>
    <row r="144" spans="2:2" ht="15.75">
      <c r="B144" s="44"/>
    </row>
    <row r="145" spans="2:2" ht="15.75">
      <c r="B145" s="44"/>
    </row>
    <row r="146" spans="2:2" ht="15.75">
      <c r="B146" s="44"/>
    </row>
    <row r="147" spans="2:2" ht="15.75">
      <c r="B147" s="44"/>
    </row>
    <row r="148" spans="2:2" ht="15.75">
      <c r="B148" s="44"/>
    </row>
    <row r="149" spans="2:2" ht="15.75">
      <c r="B149" s="44"/>
    </row>
    <row r="150" spans="2:2" ht="15.75">
      <c r="B150" s="44"/>
    </row>
    <row r="151" spans="2:2" ht="15.75">
      <c r="B151" s="44"/>
    </row>
    <row r="152" spans="2:2" ht="15.75">
      <c r="B152" s="44"/>
    </row>
    <row r="153" spans="2:2" ht="15.75">
      <c r="B153" s="44"/>
    </row>
    <row r="154" spans="2:2" ht="15.75">
      <c r="B154" s="44"/>
    </row>
    <row r="155" spans="2:2" ht="15.75">
      <c r="B155" s="44"/>
    </row>
    <row r="156" spans="2:2" ht="15.75">
      <c r="B156" s="44"/>
    </row>
    <row r="157" spans="2:2" ht="15.75">
      <c r="B157" s="44"/>
    </row>
    <row r="158" spans="2:2" ht="15.75">
      <c r="B158" s="44"/>
    </row>
    <row r="159" spans="2:2" ht="15.75">
      <c r="B159" s="44"/>
    </row>
    <row r="160" spans="2:2" ht="15.75">
      <c r="B160" s="44"/>
    </row>
    <row r="161" spans="2:2" ht="15.75">
      <c r="B161" s="44"/>
    </row>
    <row r="162" spans="2:2" ht="15.75">
      <c r="B162" s="44"/>
    </row>
    <row r="163" spans="2:2" ht="15.75">
      <c r="B163" s="44"/>
    </row>
    <row r="164" spans="2:2" ht="15.75">
      <c r="B164" s="44"/>
    </row>
    <row r="165" spans="2:2" ht="15.75">
      <c r="B165" s="44"/>
    </row>
    <row r="166" spans="2:2" ht="15.75">
      <c r="B166" s="44"/>
    </row>
    <row r="167" spans="2:2" ht="15.75">
      <c r="B167" s="44"/>
    </row>
    <row r="168" spans="2:2" ht="15.75">
      <c r="B168" s="44"/>
    </row>
    <row r="169" spans="2:2" ht="15.75">
      <c r="B169" s="44"/>
    </row>
    <row r="170" spans="2:2" ht="15.75">
      <c r="B170" s="44"/>
    </row>
    <row r="171" spans="2:2" ht="15.75">
      <c r="B171" s="44"/>
    </row>
    <row r="172" spans="2:2" ht="15.75">
      <c r="B172" s="44"/>
    </row>
    <row r="173" spans="2:2" ht="15.75">
      <c r="B173" s="44"/>
    </row>
    <row r="174" spans="2:2" ht="15.75">
      <c r="B174" s="44"/>
    </row>
    <row r="175" spans="2:2" ht="15.75">
      <c r="B175" s="44"/>
    </row>
    <row r="176" spans="2:2" ht="15.75">
      <c r="B176" s="44"/>
    </row>
    <row r="177" spans="2:2" ht="15.75">
      <c r="B177" s="44"/>
    </row>
    <row r="178" spans="2:2" ht="15.75">
      <c r="B178" s="44"/>
    </row>
    <row r="179" spans="2:2" ht="15.75">
      <c r="B179" s="44"/>
    </row>
    <row r="180" spans="2:2" ht="15.75">
      <c r="B180" s="44"/>
    </row>
    <row r="181" spans="2:2" ht="15.75">
      <c r="B181" s="44"/>
    </row>
    <row r="182" spans="2:2" ht="15.75">
      <c r="B182" s="44"/>
    </row>
    <row r="183" spans="2:2" ht="15.75">
      <c r="B183" s="44"/>
    </row>
    <row r="184" spans="2:2" ht="15.75">
      <c r="B184" s="44"/>
    </row>
    <row r="185" spans="2:2" ht="15.75">
      <c r="B185" s="44"/>
    </row>
    <row r="186" spans="2:2" ht="15.75">
      <c r="B186" s="44"/>
    </row>
    <row r="187" spans="2:2" ht="15.75">
      <c r="B187" s="44"/>
    </row>
    <row r="188" spans="2:2" ht="15.75">
      <c r="B188" s="44"/>
    </row>
    <row r="189" spans="2:2" ht="15.75">
      <c r="B189" s="44"/>
    </row>
    <row r="190" spans="2:2" ht="15.75">
      <c r="B190" s="44"/>
    </row>
    <row r="191" spans="2:2" ht="15.75">
      <c r="B191" s="44"/>
    </row>
    <row r="192" spans="2:2" ht="15.75">
      <c r="B192" s="44"/>
    </row>
    <row r="193" spans="2:2" ht="15.75">
      <c r="B193" s="44"/>
    </row>
    <row r="194" spans="2:2" ht="15.75">
      <c r="B194" s="44"/>
    </row>
    <row r="195" spans="2:2" ht="15.75">
      <c r="B195" s="44"/>
    </row>
    <row r="196" spans="2:2" ht="15.75">
      <c r="B196" s="44"/>
    </row>
    <row r="197" spans="2:2" ht="15.75">
      <c r="B197" s="44"/>
    </row>
    <row r="198" spans="2:2" ht="15.75">
      <c r="B198" s="44"/>
    </row>
    <row r="199" spans="2:2" ht="15.75">
      <c r="B199" s="44"/>
    </row>
    <row r="200" spans="2:2" ht="15.75">
      <c r="B200" s="44"/>
    </row>
    <row r="201" spans="2:2" ht="15.75">
      <c r="B201" s="44"/>
    </row>
    <row r="202" spans="2:2" ht="15.75">
      <c r="B202" s="44"/>
    </row>
    <row r="203" spans="2:2" ht="15.75">
      <c r="B203" s="44"/>
    </row>
    <row r="204" spans="2:2" ht="15.75">
      <c r="B204" s="44"/>
    </row>
    <row r="205" spans="2:2" ht="15.75">
      <c r="B205" s="44"/>
    </row>
    <row r="206" spans="2:2" ht="15.75">
      <c r="B206" s="44"/>
    </row>
    <row r="207" spans="2:2" ht="15.75">
      <c r="B207" s="44"/>
    </row>
    <row r="208" spans="2:2" ht="15.75">
      <c r="B208" s="44"/>
    </row>
    <row r="209" spans="2:2" ht="15.75">
      <c r="B209" s="44"/>
    </row>
    <row r="210" spans="2:2" ht="15.75">
      <c r="B210" s="44"/>
    </row>
    <row r="211" spans="2:2" ht="15.75">
      <c r="B211" s="44"/>
    </row>
    <row r="212" spans="2:2" ht="15.75">
      <c r="B212" s="44"/>
    </row>
    <row r="213" spans="2:2" ht="15.75">
      <c r="B213" s="44"/>
    </row>
    <row r="214" spans="2:2" ht="15.75">
      <c r="B214" s="44"/>
    </row>
    <row r="215" spans="2:2" ht="15.75">
      <c r="B215" s="44"/>
    </row>
    <row r="216" spans="2:2" ht="15.75">
      <c r="B216" s="44"/>
    </row>
    <row r="217" spans="2:2" ht="15.75">
      <c r="B217" s="44"/>
    </row>
    <row r="218" spans="2:2" ht="15.75">
      <c r="B218" s="44"/>
    </row>
    <row r="219" spans="2:2" ht="15.75">
      <c r="B219" s="44"/>
    </row>
    <row r="220" spans="2:2" ht="15.75">
      <c r="B220" s="44"/>
    </row>
    <row r="221" spans="2:2" ht="15.75">
      <c r="B221" s="44"/>
    </row>
    <row r="222" spans="2:2" ht="15.75">
      <c r="B222" s="44"/>
    </row>
    <row r="223" spans="2:2" ht="15.75">
      <c r="B223" s="44"/>
    </row>
    <row r="224" spans="2:2" ht="15.75">
      <c r="B224" s="44"/>
    </row>
    <row r="225" spans="2:2" ht="15.75">
      <c r="B225" s="44"/>
    </row>
    <row r="226" spans="2:2" ht="15.75">
      <c r="B226" s="44"/>
    </row>
    <row r="227" spans="2:2" ht="15.75">
      <c r="B227" s="44"/>
    </row>
    <row r="228" spans="2:2" ht="15.75">
      <c r="B228" s="44"/>
    </row>
    <row r="229" spans="2:2" ht="15.75">
      <c r="B229" s="44"/>
    </row>
    <row r="230" spans="2:2" ht="15.75">
      <c r="B230" s="44"/>
    </row>
    <row r="231" spans="2:2" ht="15.75">
      <c r="B231" s="44"/>
    </row>
    <row r="232" spans="2:2" ht="15.75">
      <c r="B232" s="44"/>
    </row>
    <row r="233" spans="2:2" ht="15.75">
      <c r="B233" s="44"/>
    </row>
    <row r="234" spans="2:2" ht="15.75">
      <c r="B234" s="44"/>
    </row>
    <row r="235" spans="2:2" ht="15.75">
      <c r="B235" s="44"/>
    </row>
    <row r="236" spans="2:2" ht="15.75">
      <c r="B236" s="44"/>
    </row>
    <row r="237" spans="2:2" ht="15.75">
      <c r="B237" s="44"/>
    </row>
  </sheetData>
  <pageMargins left="0.70866141732283472" right="0.70866141732283472" top="0.74803149606299213" bottom="0.74803149606299213" header="0.31496062992125984" footer="0.31496062992125984"/>
  <pageSetup paperSize="9" scale="62" orientation="portrait" horizontalDpi="1200" verticalDpi="1200"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7"/>
  <sheetViews>
    <sheetView view="pageBreakPreview" topLeftCell="A48" zoomScale="60" zoomScaleNormal="100" workbookViewId="0">
      <selection activeCell="G74" sqref="G74"/>
    </sheetView>
  </sheetViews>
  <sheetFormatPr defaultRowHeight="15"/>
  <cols>
    <col min="1" max="1" width="3.42578125" style="178" customWidth="1"/>
    <col min="5" max="5" width="10.28515625" customWidth="1"/>
    <col min="7" max="7" width="13" customWidth="1"/>
    <col min="14" max="14" width="10.140625" customWidth="1"/>
  </cols>
  <sheetData>
    <row r="1" spans="1:15" ht="19.5">
      <c r="A1" s="145" t="s">
        <v>986</v>
      </c>
    </row>
    <row r="2" spans="1:15">
      <c r="A2" s="167" t="s">
        <v>129</v>
      </c>
    </row>
    <row r="3" spans="1:15" ht="15.75" thickBot="1">
      <c r="A3" s="170"/>
      <c r="B3" s="170"/>
      <c r="C3" s="170"/>
      <c r="D3" s="170"/>
      <c r="E3" s="170"/>
      <c r="F3" s="170"/>
      <c r="G3" s="170"/>
      <c r="H3" s="170"/>
      <c r="I3" s="170"/>
      <c r="J3" s="170"/>
      <c r="K3" s="170"/>
      <c r="L3" s="170"/>
      <c r="M3" s="170"/>
      <c r="N3" s="170"/>
      <c r="O3" s="170"/>
    </row>
    <row r="4" spans="1:15">
      <c r="A4" s="675"/>
      <c r="B4" s="675"/>
      <c r="C4" s="675"/>
      <c r="D4" s="675"/>
      <c r="E4" s="675"/>
      <c r="F4" s="675"/>
      <c r="G4" s="675"/>
      <c r="H4" s="675"/>
      <c r="I4" s="675"/>
      <c r="J4" s="675"/>
      <c r="K4" s="675"/>
      <c r="L4" s="675"/>
      <c r="M4" s="675"/>
      <c r="N4" s="675"/>
      <c r="O4" s="675"/>
    </row>
    <row r="5" spans="1:15">
      <c r="A5" s="169" t="s">
        <v>138</v>
      </c>
      <c r="B5" s="726" t="s">
        <v>991</v>
      </c>
      <c r="C5" s="675"/>
      <c r="D5" s="675"/>
      <c r="E5" s="675"/>
      <c r="F5" s="675"/>
      <c r="G5" s="675"/>
      <c r="H5" s="675"/>
      <c r="I5" s="675"/>
      <c r="J5" s="675"/>
      <c r="K5" s="675"/>
      <c r="L5" s="675"/>
      <c r="M5" s="675"/>
      <c r="N5" s="675"/>
      <c r="O5" s="675"/>
    </row>
    <row r="6" spans="1:15">
      <c r="A6"/>
    </row>
    <row r="7" spans="1:15" ht="15.75">
      <c r="B7" s="172" t="s">
        <v>156</v>
      </c>
    </row>
    <row r="8" spans="1:15" ht="15.75">
      <c r="B8" s="172"/>
    </row>
    <row r="9" spans="1:15" ht="15.75">
      <c r="B9" s="752" t="s">
        <v>1067</v>
      </c>
    </row>
    <row r="10" spans="1:15" ht="15.75">
      <c r="B10" s="44" t="s">
        <v>1068</v>
      </c>
    </row>
    <row r="11" spans="1:15" ht="15.75">
      <c r="B11" s="44" t="s">
        <v>148</v>
      </c>
    </row>
    <row r="12" spans="1:15" ht="15.75">
      <c r="B12" s="44"/>
    </row>
    <row r="13" spans="1:15" ht="15.75">
      <c r="B13" s="752" t="s">
        <v>1048</v>
      </c>
    </row>
    <row r="14" spans="1:15" ht="15.75">
      <c r="B14" s="44" t="s">
        <v>1069</v>
      </c>
    </row>
    <row r="15" spans="1:15" ht="15.75">
      <c r="B15" s="44" t="s">
        <v>1070</v>
      </c>
    </row>
    <row r="17" spans="1:2" ht="15.75">
      <c r="A17" s="168"/>
      <c r="B17" s="172"/>
    </row>
    <row r="18" spans="1:2" ht="15.75">
      <c r="A18" s="169" t="s">
        <v>159</v>
      </c>
      <c r="B18" s="172" t="s">
        <v>158</v>
      </c>
    </row>
    <row r="19" spans="1:2" ht="15.75">
      <c r="B19" s="44"/>
    </row>
    <row r="20" spans="1:2" ht="15.75">
      <c r="B20" s="44" t="s">
        <v>996</v>
      </c>
    </row>
    <row r="21" spans="1:2" ht="15.75">
      <c r="B21" s="44" t="s">
        <v>160</v>
      </c>
    </row>
    <row r="22" spans="1:2" ht="15.75">
      <c r="B22" s="44" t="s">
        <v>161</v>
      </c>
    </row>
    <row r="23" spans="1:2" ht="15.75">
      <c r="B23" s="44"/>
    </row>
    <row r="24" spans="1:2" ht="15.75">
      <c r="B24" s="44" t="s">
        <v>997</v>
      </c>
    </row>
    <row r="25" spans="1:2" ht="15.75">
      <c r="B25" s="44" t="s">
        <v>162</v>
      </c>
    </row>
    <row r="26" spans="1:2" ht="15.75">
      <c r="B26" s="44"/>
    </row>
    <row r="27" spans="1:2" ht="15.75">
      <c r="B27" s="44" t="s">
        <v>163</v>
      </c>
    </row>
    <row r="28" spans="1:2" ht="15.75">
      <c r="B28" s="44"/>
    </row>
    <row r="29" spans="1:2" ht="15.75">
      <c r="B29" s="172" t="s">
        <v>164</v>
      </c>
    </row>
    <row r="30" spans="1:2" ht="15.75">
      <c r="B30" s="44"/>
    </row>
    <row r="31" spans="1:2" ht="15.75">
      <c r="B31" s="44" t="s">
        <v>165</v>
      </c>
    </row>
    <row r="32" spans="1:2" ht="15.75">
      <c r="B32" s="44" t="s">
        <v>1071</v>
      </c>
    </row>
    <row r="33" spans="1:2" ht="15.75">
      <c r="B33" s="44" t="s">
        <v>166</v>
      </c>
    </row>
    <row r="35" spans="1:2" ht="15.75">
      <c r="B35" s="172" t="s">
        <v>167</v>
      </c>
    </row>
    <row r="36" spans="1:2" ht="15.75">
      <c r="B36" s="44"/>
    </row>
    <row r="37" spans="1:2">
      <c r="B37" s="753" t="s">
        <v>1072</v>
      </c>
    </row>
    <row r="38" spans="1:2" ht="15.75">
      <c r="B38" s="44" t="s">
        <v>1073</v>
      </c>
    </row>
    <row r="39" spans="1:2" ht="15.75">
      <c r="B39" s="44" t="s">
        <v>1074</v>
      </c>
    </row>
    <row r="40" spans="1:2" ht="15.75">
      <c r="B40" s="44" t="s">
        <v>1075</v>
      </c>
    </row>
    <row r="41" spans="1:2" ht="15.75">
      <c r="B41" s="44" t="s">
        <v>1076</v>
      </c>
    </row>
    <row r="42" spans="1:2" ht="15.75">
      <c r="B42" s="44" t="s">
        <v>1077</v>
      </c>
    </row>
    <row r="43" spans="1:2" ht="15.75">
      <c r="B43" s="44" t="s">
        <v>1078</v>
      </c>
    </row>
    <row r="44" spans="1:2" ht="15.75">
      <c r="B44" s="44" t="s">
        <v>1079</v>
      </c>
    </row>
    <row r="45" spans="1:2" ht="15.75">
      <c r="B45" s="44" t="s">
        <v>1080</v>
      </c>
    </row>
    <row r="46" spans="1:2" ht="15.75">
      <c r="B46" s="44"/>
    </row>
    <row r="47" spans="1:2" ht="15.75">
      <c r="A47" s="169" t="s">
        <v>169</v>
      </c>
      <c r="B47" s="172" t="s">
        <v>168</v>
      </c>
    </row>
    <row r="48" spans="1:2" ht="15.75">
      <c r="B48" s="44"/>
    </row>
    <row r="49" spans="1:2" ht="15.75">
      <c r="B49" s="44" t="s">
        <v>170</v>
      </c>
    </row>
    <row r="50" spans="1:2" ht="15.75">
      <c r="B50" s="44" t="s">
        <v>171</v>
      </c>
    </row>
    <row r="51" spans="1:2" ht="15.75">
      <c r="B51" s="44" t="s">
        <v>172</v>
      </c>
    </row>
    <row r="52" spans="1:2" ht="15.75">
      <c r="B52" s="44"/>
    </row>
    <row r="53" spans="1:2" ht="15.75">
      <c r="A53" s="169" t="s">
        <v>174</v>
      </c>
      <c r="B53" s="172" t="s">
        <v>173</v>
      </c>
    </row>
    <row r="54" spans="1:2" ht="15.75">
      <c r="B54" s="44" t="s">
        <v>175</v>
      </c>
    </row>
    <row r="55" spans="1:2" ht="15.75">
      <c r="B55" s="44" t="s">
        <v>1081</v>
      </c>
    </row>
    <row r="56" spans="1:2" ht="15.75">
      <c r="B56" s="44" t="s">
        <v>1082</v>
      </c>
    </row>
    <row r="57" spans="1:2" ht="15.75">
      <c r="B57" s="44"/>
    </row>
    <row r="58" spans="1:2" ht="15.75">
      <c r="B58" s="44" t="s">
        <v>176</v>
      </c>
    </row>
    <row r="59" spans="1:2" ht="15.75">
      <c r="B59" s="44" t="s">
        <v>177</v>
      </c>
    </row>
    <row r="60" spans="1:2" ht="15.75">
      <c r="B60" s="44" t="s">
        <v>178</v>
      </c>
    </row>
    <row r="61" spans="1:2" ht="15.75">
      <c r="B61" s="44"/>
    </row>
    <row r="62" spans="1:2" ht="15.75">
      <c r="A62" s="169" t="s">
        <v>179</v>
      </c>
      <c r="B62" s="172" t="s">
        <v>180</v>
      </c>
    </row>
    <row r="63" spans="1:2" ht="15.75">
      <c r="B63" s="44" t="s">
        <v>1083</v>
      </c>
    </row>
    <row r="64" spans="1:2" ht="15.75">
      <c r="B64" s="44" t="s">
        <v>181</v>
      </c>
    </row>
    <row r="65" spans="1:2" ht="15.75">
      <c r="B65" s="44"/>
    </row>
    <row r="66" spans="1:2" ht="15.75">
      <c r="B66" s="44" t="s">
        <v>182</v>
      </c>
    </row>
    <row r="67" spans="1:2" ht="15.75">
      <c r="B67" s="44" t="s">
        <v>183</v>
      </c>
    </row>
    <row r="68" spans="1:2" ht="15.75">
      <c r="B68" s="44"/>
    </row>
    <row r="69" spans="1:2" ht="15.75">
      <c r="A69" s="175" t="s">
        <v>184</v>
      </c>
      <c r="B69" s="172" t="s">
        <v>185</v>
      </c>
    </row>
    <row r="70" spans="1:2" ht="15.75">
      <c r="A70" s="175"/>
      <c r="B70" s="44"/>
    </row>
    <row r="71" spans="1:2" ht="15.75">
      <c r="A71" s="176"/>
      <c r="B71" s="44" t="s">
        <v>186</v>
      </c>
    </row>
    <row r="72" spans="1:2" ht="15.75">
      <c r="A72" s="176"/>
      <c r="B72" s="44" t="s">
        <v>187</v>
      </c>
    </row>
    <row r="73" spans="1:2" ht="15.75">
      <c r="B73" s="44"/>
    </row>
    <row r="74" spans="1:2" ht="15.75">
      <c r="B74" s="44"/>
    </row>
    <row r="77" spans="1:2" ht="15.75">
      <c r="B77" s="44"/>
    </row>
    <row r="78" spans="1:2" ht="15.75">
      <c r="B78" s="44"/>
    </row>
    <row r="79" spans="1:2" ht="15.75">
      <c r="B79" s="44"/>
    </row>
    <row r="80" spans="1:2" ht="15.75">
      <c r="B80" s="44"/>
    </row>
    <row r="81" spans="2:2" ht="15.75">
      <c r="B81" s="44"/>
    </row>
    <row r="82" spans="2:2" ht="15.75">
      <c r="B82" s="44"/>
    </row>
    <row r="83" spans="2:2" ht="15.75">
      <c r="B83" s="44"/>
    </row>
    <row r="84" spans="2:2" ht="15.75">
      <c r="B84" s="44"/>
    </row>
    <row r="85" spans="2:2" ht="15.75">
      <c r="B85" s="44"/>
    </row>
    <row r="86" spans="2:2" ht="15.75">
      <c r="B86" s="44"/>
    </row>
    <row r="87" spans="2:2" ht="15.75">
      <c r="B87" s="44"/>
    </row>
    <row r="88" spans="2:2" ht="15.75">
      <c r="B88" s="44"/>
    </row>
    <row r="89" spans="2:2" ht="15.75">
      <c r="B89" s="44"/>
    </row>
    <row r="90" spans="2:2" ht="15.75">
      <c r="B90" s="44"/>
    </row>
    <row r="91" spans="2:2" ht="15.75">
      <c r="B91" s="44"/>
    </row>
    <row r="92" spans="2:2" ht="15.75">
      <c r="B92" s="44"/>
    </row>
    <row r="93" spans="2:2" ht="15.75">
      <c r="B93" s="44"/>
    </row>
    <row r="94" spans="2:2" ht="15.75">
      <c r="B94" s="44"/>
    </row>
    <row r="95" spans="2:2" ht="15.75">
      <c r="B95" s="44"/>
    </row>
    <row r="96" spans="2:2" ht="15.75">
      <c r="B96" s="44"/>
    </row>
    <row r="97" spans="2:2" ht="15.75">
      <c r="B97" s="44"/>
    </row>
    <row r="98" spans="2:2" ht="15.75">
      <c r="B98" s="44"/>
    </row>
    <row r="99" spans="2:2" ht="15.75">
      <c r="B99" s="44"/>
    </row>
    <row r="100" spans="2:2" ht="15.75">
      <c r="B100" s="44"/>
    </row>
    <row r="101" spans="2:2" ht="15.75">
      <c r="B101" s="44"/>
    </row>
    <row r="102" spans="2:2" ht="15.75">
      <c r="B102" s="44"/>
    </row>
    <row r="103" spans="2:2" ht="15.75">
      <c r="B103" s="44"/>
    </row>
    <row r="104" spans="2:2" ht="15.75">
      <c r="B104" s="44"/>
    </row>
    <row r="105" spans="2:2" ht="15.75">
      <c r="B105" s="44"/>
    </row>
    <row r="106" spans="2:2" ht="15.75">
      <c r="B106" s="44"/>
    </row>
    <row r="107" spans="2:2" ht="15.75">
      <c r="B107" s="44"/>
    </row>
    <row r="108" spans="2:2" ht="15.75">
      <c r="B108" s="44"/>
    </row>
    <row r="109" spans="2:2" ht="15.75">
      <c r="B109" s="44"/>
    </row>
    <row r="110" spans="2:2" ht="15.75">
      <c r="B110" s="44"/>
    </row>
    <row r="111" spans="2:2" ht="15.75">
      <c r="B111" s="44"/>
    </row>
    <row r="112" spans="2:2" ht="15.75">
      <c r="B112" s="44"/>
    </row>
    <row r="113" spans="2:2" ht="15.75">
      <c r="B113" s="44"/>
    </row>
    <row r="114" spans="2:2" ht="15.75">
      <c r="B114" s="44"/>
    </row>
    <row r="115" spans="2:2" ht="15.75">
      <c r="B115" s="44"/>
    </row>
    <row r="116" spans="2:2" ht="15.75">
      <c r="B116" s="44"/>
    </row>
    <row r="117" spans="2:2" ht="15.75">
      <c r="B117" s="44"/>
    </row>
    <row r="118" spans="2:2" ht="15.75">
      <c r="B118" s="44"/>
    </row>
    <row r="119" spans="2:2" ht="15.75">
      <c r="B119" s="44"/>
    </row>
    <row r="120" spans="2:2" ht="15.75">
      <c r="B120" s="44"/>
    </row>
    <row r="121" spans="2:2" ht="15.75">
      <c r="B121" s="44"/>
    </row>
    <row r="122" spans="2:2" ht="15.75">
      <c r="B122" s="44"/>
    </row>
    <row r="123" spans="2:2" ht="15.75">
      <c r="B123" s="44"/>
    </row>
    <row r="124" spans="2:2" ht="15.75">
      <c r="B124" s="44"/>
    </row>
    <row r="125" spans="2:2" ht="15.75">
      <c r="B125" s="44"/>
    </row>
    <row r="126" spans="2:2" ht="15.75">
      <c r="B126" s="44"/>
    </row>
    <row r="127" spans="2:2" ht="15.75">
      <c r="B127" s="44"/>
    </row>
    <row r="128" spans="2:2" ht="15.75">
      <c r="B128" s="44"/>
    </row>
    <row r="129" spans="2:2" ht="15.75">
      <c r="B129" s="44"/>
    </row>
    <row r="130" spans="2:2" ht="15.75">
      <c r="B130" s="44"/>
    </row>
    <row r="131" spans="2:2" ht="15.75">
      <c r="B131" s="44"/>
    </row>
    <row r="132" spans="2:2" ht="15.75">
      <c r="B132" s="44"/>
    </row>
    <row r="133" spans="2:2" ht="15.75">
      <c r="B133" s="44"/>
    </row>
    <row r="134" spans="2:2" ht="15.75">
      <c r="B134" s="44"/>
    </row>
    <row r="135" spans="2:2" ht="15.75">
      <c r="B135" s="44"/>
    </row>
    <row r="136" spans="2:2" ht="15.75">
      <c r="B136" s="44"/>
    </row>
    <row r="137" spans="2:2" ht="15.75">
      <c r="B137" s="44"/>
    </row>
    <row r="138" spans="2:2" ht="15.75">
      <c r="B138" s="44"/>
    </row>
    <row r="139" spans="2:2" ht="15.75">
      <c r="B139" s="44"/>
    </row>
    <row r="140" spans="2:2" ht="15.75">
      <c r="B140" s="44"/>
    </row>
    <row r="141" spans="2:2" ht="15.75">
      <c r="B141" s="44"/>
    </row>
    <row r="142" spans="2:2" ht="15.75">
      <c r="B142" s="44"/>
    </row>
    <row r="143" spans="2:2" ht="15.75">
      <c r="B143" s="44"/>
    </row>
    <row r="144" spans="2:2" ht="15.75">
      <c r="B144" s="44"/>
    </row>
    <row r="145" spans="2:2" ht="15.75">
      <c r="B145" s="44"/>
    </row>
    <row r="146" spans="2:2" ht="15.75">
      <c r="B146" s="44"/>
    </row>
    <row r="147" spans="2:2" ht="15.75">
      <c r="B147" s="44"/>
    </row>
    <row r="148" spans="2:2" ht="15.75">
      <c r="B148" s="44"/>
    </row>
    <row r="149" spans="2:2" ht="15.75">
      <c r="B149" s="44"/>
    </row>
    <row r="150" spans="2:2" ht="15.75">
      <c r="B150" s="44"/>
    </row>
    <row r="151" spans="2:2" ht="15.75">
      <c r="B151" s="44"/>
    </row>
    <row r="152" spans="2:2" ht="15.75">
      <c r="B152" s="44"/>
    </row>
    <row r="153" spans="2:2" ht="15.75">
      <c r="B153" s="44"/>
    </row>
    <row r="154" spans="2:2" ht="15.75">
      <c r="B154" s="44"/>
    </row>
    <row r="155" spans="2:2" ht="15.75">
      <c r="B155" s="44"/>
    </row>
    <row r="156" spans="2:2" ht="15.75">
      <c r="B156" s="44"/>
    </row>
    <row r="157" spans="2:2" ht="15.75">
      <c r="B157" s="44"/>
    </row>
    <row r="158" spans="2:2" ht="15.75">
      <c r="B158" s="44"/>
    </row>
    <row r="159" spans="2:2" ht="15.75">
      <c r="B159" s="44"/>
    </row>
    <row r="160" spans="2:2" ht="15.75">
      <c r="B160" s="44"/>
    </row>
    <row r="161" spans="2:2" ht="15.75">
      <c r="B161" s="44"/>
    </row>
    <row r="162" spans="2:2" ht="15.75">
      <c r="B162" s="44"/>
    </row>
    <row r="163" spans="2:2" ht="15.75">
      <c r="B163" s="44"/>
    </row>
    <row r="164" spans="2:2" ht="15.75">
      <c r="B164" s="44"/>
    </row>
    <row r="165" spans="2:2" ht="15.75">
      <c r="B165" s="44"/>
    </row>
    <row r="166" spans="2:2" ht="15.75">
      <c r="B166" s="44"/>
    </row>
    <row r="167" spans="2:2" ht="15.75">
      <c r="B167" s="44"/>
    </row>
    <row r="168" spans="2:2" ht="15.75">
      <c r="B168" s="44"/>
    </row>
    <row r="169" spans="2:2" ht="15.75">
      <c r="B169" s="44"/>
    </row>
    <row r="170" spans="2:2" ht="15.75">
      <c r="B170" s="44"/>
    </row>
    <row r="171" spans="2:2" ht="15.75">
      <c r="B171" s="44"/>
    </row>
    <row r="172" spans="2:2" ht="15.75">
      <c r="B172" s="44"/>
    </row>
    <row r="173" spans="2:2" ht="15.75">
      <c r="B173" s="44"/>
    </row>
    <row r="174" spans="2:2" ht="15.75">
      <c r="B174" s="44"/>
    </row>
    <row r="175" spans="2:2" ht="15.75">
      <c r="B175" s="44"/>
    </row>
    <row r="176" spans="2:2" ht="15.75">
      <c r="B176" s="44"/>
    </row>
    <row r="177" spans="2:2" ht="15.75">
      <c r="B177" s="44"/>
    </row>
    <row r="178" spans="2:2" ht="15.75">
      <c r="B178" s="44"/>
    </row>
    <row r="179" spans="2:2" ht="15.75">
      <c r="B179" s="44"/>
    </row>
    <row r="180" spans="2:2" ht="15.75">
      <c r="B180" s="44"/>
    </row>
    <row r="181" spans="2:2" ht="15.75">
      <c r="B181" s="44"/>
    </row>
    <row r="182" spans="2:2" ht="15.75">
      <c r="B182" s="44"/>
    </row>
    <row r="183" spans="2:2" ht="15.75">
      <c r="B183" s="44"/>
    </row>
    <row r="184" spans="2:2" ht="15.75">
      <c r="B184" s="44"/>
    </row>
    <row r="185" spans="2:2" ht="15.75">
      <c r="B185" s="44"/>
    </row>
    <row r="186" spans="2:2" ht="15.75">
      <c r="B186" s="44"/>
    </row>
    <row r="187" spans="2:2" ht="15.75">
      <c r="B187" s="44"/>
    </row>
    <row r="188" spans="2:2" ht="15.75">
      <c r="B188" s="44"/>
    </row>
    <row r="189" spans="2:2" ht="15.75">
      <c r="B189" s="44"/>
    </row>
    <row r="190" spans="2:2" ht="15.75">
      <c r="B190" s="44"/>
    </row>
    <row r="191" spans="2:2" ht="15.75">
      <c r="B191" s="44"/>
    </row>
    <row r="192" spans="2:2" ht="15.75">
      <c r="B192" s="44"/>
    </row>
    <row r="193" spans="2:2" ht="15.75">
      <c r="B193" s="44"/>
    </row>
    <row r="194" spans="2:2" ht="15.75">
      <c r="B194" s="44"/>
    </row>
    <row r="195" spans="2:2" ht="15.75">
      <c r="B195" s="44"/>
    </row>
    <row r="196" spans="2:2" ht="15.75">
      <c r="B196" s="44"/>
    </row>
    <row r="197" spans="2:2" ht="15.75">
      <c r="B197" s="44"/>
    </row>
    <row r="198" spans="2:2" ht="15.75">
      <c r="B198" s="44"/>
    </row>
    <row r="199" spans="2:2" ht="15.75">
      <c r="B199" s="44"/>
    </row>
    <row r="200" spans="2:2" ht="15.75">
      <c r="B200" s="44"/>
    </row>
    <row r="201" spans="2:2" ht="15.75">
      <c r="B201" s="44"/>
    </row>
    <row r="202" spans="2:2" ht="15.75">
      <c r="B202" s="44"/>
    </row>
    <row r="203" spans="2:2" ht="15.75">
      <c r="B203" s="44"/>
    </row>
    <row r="204" spans="2:2" ht="15.75">
      <c r="B204" s="44"/>
    </row>
    <row r="205" spans="2:2" ht="15.75">
      <c r="B205" s="44"/>
    </row>
    <row r="206" spans="2:2" ht="15.75">
      <c r="B206" s="44"/>
    </row>
    <row r="207" spans="2:2" ht="15.75">
      <c r="B207" s="44"/>
    </row>
    <row r="208" spans="2:2" ht="15.75">
      <c r="B208" s="44"/>
    </row>
    <row r="209" spans="2:2" ht="15.75">
      <c r="B209" s="44"/>
    </row>
    <row r="210" spans="2:2" ht="15.75">
      <c r="B210" s="44"/>
    </row>
    <row r="211" spans="2:2" ht="15.75">
      <c r="B211" s="44"/>
    </row>
    <row r="212" spans="2:2" ht="15.75">
      <c r="B212" s="44"/>
    </row>
    <row r="213" spans="2:2" ht="15.75">
      <c r="B213" s="44"/>
    </row>
    <row r="214" spans="2:2" ht="15.75">
      <c r="B214" s="44"/>
    </row>
    <row r="215" spans="2:2" ht="15.75">
      <c r="B215" s="44"/>
    </row>
    <row r="216" spans="2:2" ht="15.75">
      <c r="B216" s="44"/>
    </row>
    <row r="217" spans="2:2" ht="15.75">
      <c r="B217" s="44"/>
    </row>
    <row r="218" spans="2:2" ht="15.75">
      <c r="B218" s="44"/>
    </row>
    <row r="219" spans="2:2" ht="15.75">
      <c r="B219" s="44"/>
    </row>
    <row r="220" spans="2:2" ht="15.75">
      <c r="B220" s="44"/>
    </row>
    <row r="221" spans="2:2" ht="15.75">
      <c r="B221" s="44"/>
    </row>
    <row r="222" spans="2:2" ht="15.75">
      <c r="B222" s="44"/>
    </row>
    <row r="223" spans="2:2" ht="15.75">
      <c r="B223" s="44"/>
    </row>
    <row r="224" spans="2:2" ht="15.75">
      <c r="B224" s="44"/>
    </row>
    <row r="225" spans="2:2" ht="15.75">
      <c r="B225" s="44"/>
    </row>
    <row r="226" spans="2:2" ht="15.75">
      <c r="B226" s="44"/>
    </row>
    <row r="227" spans="2:2" ht="15.75">
      <c r="B227" s="44"/>
    </row>
  </sheetData>
  <pageMargins left="0.70866141732283472" right="0.70866141732283472" top="0.74803149606299213" bottom="0.74803149606299213" header="0.31496062992125984" footer="0.31496062992125984"/>
  <pageSetup paperSize="9" scale="62" orientation="portrait" horizontalDpi="1200" verticalDpi="1200"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0"/>
  <sheetViews>
    <sheetView view="pageBreakPreview" zoomScale="60" zoomScaleNormal="100" workbookViewId="0">
      <selection activeCell="S83" sqref="S83"/>
    </sheetView>
  </sheetViews>
  <sheetFormatPr defaultRowHeight="15"/>
  <cols>
    <col min="1" max="1" width="4.42578125" customWidth="1"/>
    <col min="5" max="5" width="10.28515625" customWidth="1"/>
    <col min="7" max="7" width="13" customWidth="1"/>
    <col min="14" max="14" width="10.140625" customWidth="1"/>
  </cols>
  <sheetData>
    <row r="1" spans="1:15" ht="19.5">
      <c r="A1" s="145" t="s">
        <v>986</v>
      </c>
    </row>
    <row r="2" spans="1:15">
      <c r="A2" s="167" t="s">
        <v>129</v>
      </c>
    </row>
    <row r="3" spans="1:15" ht="15.75" thickBot="1">
      <c r="A3" s="170"/>
      <c r="B3" s="170"/>
      <c r="C3" s="170"/>
      <c r="D3" s="170"/>
      <c r="E3" s="170"/>
      <c r="F3" s="170"/>
      <c r="G3" s="170"/>
      <c r="H3" s="170"/>
      <c r="I3" s="170"/>
      <c r="J3" s="170"/>
      <c r="K3" s="170"/>
      <c r="L3" s="170"/>
      <c r="M3" s="170"/>
      <c r="N3" s="170"/>
      <c r="O3" s="170"/>
    </row>
    <row r="5" spans="1:15" ht="15.75">
      <c r="A5" s="175" t="s">
        <v>188</v>
      </c>
      <c r="B5" s="172" t="s">
        <v>189</v>
      </c>
    </row>
    <row r="6" spans="1:15" ht="15.75">
      <c r="A6" s="176"/>
      <c r="B6" s="44"/>
    </row>
    <row r="7" spans="1:15" ht="15.75">
      <c r="A7" s="176"/>
      <c r="B7" s="44" t="s">
        <v>190</v>
      </c>
    </row>
    <row r="8" spans="1:15" ht="15.75">
      <c r="A8" s="175"/>
      <c r="B8" s="44" t="s">
        <v>191</v>
      </c>
    </row>
    <row r="9" spans="1:15" ht="15.75">
      <c r="A9" s="176"/>
      <c r="B9" s="44" t="s">
        <v>1084</v>
      </c>
    </row>
    <row r="10" spans="1:15" ht="15.75">
      <c r="A10" s="176"/>
      <c r="B10" s="44" t="s">
        <v>1087</v>
      </c>
    </row>
    <row r="11" spans="1:15" ht="15.75">
      <c r="A11" s="176"/>
      <c r="B11" s="44" t="s">
        <v>1085</v>
      </c>
    </row>
    <row r="12" spans="1:15" ht="15.75">
      <c r="A12" s="176"/>
      <c r="B12" s="44" t="s">
        <v>1086</v>
      </c>
    </row>
    <row r="13" spans="1:15" ht="15.75">
      <c r="A13" s="176"/>
      <c r="B13" s="44" t="s">
        <v>192</v>
      </c>
    </row>
    <row r="14" spans="1:15" ht="15.75">
      <c r="A14" s="176"/>
      <c r="B14" s="44" t="s">
        <v>193</v>
      </c>
    </row>
    <row r="15" spans="1:15" ht="15.75">
      <c r="A15" s="176"/>
      <c r="B15" s="44" t="s">
        <v>194</v>
      </c>
    </row>
    <row r="16" spans="1:15" ht="15.75">
      <c r="A16" s="176"/>
      <c r="B16" s="44"/>
    </row>
    <row r="17" spans="1:2" ht="15.75">
      <c r="A17" s="176"/>
      <c r="B17" s="44" t="s">
        <v>195</v>
      </c>
    </row>
    <row r="18" spans="1:2" ht="15.75">
      <c r="A18" s="177"/>
      <c r="B18" s="44" t="s">
        <v>196</v>
      </c>
    </row>
    <row r="19" spans="1:2" ht="15.75">
      <c r="A19" s="175"/>
      <c r="B19" s="44" t="s">
        <v>197</v>
      </c>
    </row>
    <row r="20" spans="1:2" ht="15.75">
      <c r="A20" s="176"/>
      <c r="B20" s="44" t="s">
        <v>1090</v>
      </c>
    </row>
    <row r="21" spans="1:2" ht="15.75">
      <c r="A21" s="176"/>
      <c r="B21" s="44" t="s">
        <v>1089</v>
      </c>
    </row>
    <row r="22" spans="1:2" ht="15.75">
      <c r="A22" s="176"/>
      <c r="B22" s="44"/>
    </row>
    <row r="23" spans="1:2" ht="15.75">
      <c r="A23" s="176"/>
      <c r="B23" s="44" t="s">
        <v>198</v>
      </c>
    </row>
    <row r="24" spans="1:2" ht="15.75">
      <c r="A24" s="176"/>
      <c r="B24" s="44" t="s">
        <v>199</v>
      </c>
    </row>
    <row r="25" spans="1:2" ht="15.75">
      <c r="A25" s="176"/>
      <c r="B25" s="44" t="s">
        <v>200</v>
      </c>
    </row>
    <row r="26" spans="1:2" ht="15.75">
      <c r="A26" s="176"/>
      <c r="B26" s="44" t="s">
        <v>201</v>
      </c>
    </row>
    <row r="27" spans="1:2" ht="15.75">
      <c r="A27" s="176"/>
      <c r="B27" s="44"/>
    </row>
    <row r="28" spans="1:2" ht="15.75">
      <c r="A28" s="176"/>
      <c r="B28" s="44" t="s">
        <v>202</v>
      </c>
    </row>
    <row r="29" spans="1:2" ht="15.75">
      <c r="A29" s="176"/>
      <c r="B29" s="44" t="s">
        <v>203</v>
      </c>
    </row>
    <row r="30" spans="1:2" ht="15.75">
      <c r="A30" s="176"/>
      <c r="B30" s="44" t="s">
        <v>204</v>
      </c>
    </row>
    <row r="31" spans="1:2" ht="15.75">
      <c r="A31" s="176"/>
      <c r="B31" s="44"/>
    </row>
    <row r="32" spans="1:2" ht="15.75">
      <c r="A32" s="175" t="s">
        <v>205</v>
      </c>
      <c r="B32" s="172" t="s">
        <v>72</v>
      </c>
    </row>
    <row r="33" spans="1:2" ht="15.75">
      <c r="A33" s="176"/>
      <c r="B33" s="44"/>
    </row>
    <row r="34" spans="1:2" ht="15.75">
      <c r="A34" s="176"/>
      <c r="B34" s="44" t="s">
        <v>1088</v>
      </c>
    </row>
    <row r="35" spans="1:2" ht="15.75">
      <c r="A35" s="176"/>
      <c r="B35" s="44" t="s">
        <v>1091</v>
      </c>
    </row>
    <row r="36" spans="1:2" ht="15.75">
      <c r="A36" s="176"/>
      <c r="B36" s="44" t="s">
        <v>1092</v>
      </c>
    </row>
    <row r="37" spans="1:2" ht="15.75">
      <c r="A37" s="176"/>
      <c r="B37" s="44"/>
    </row>
    <row r="38" spans="1:2" ht="15.75">
      <c r="A38" s="176"/>
      <c r="B38" s="44" t="s">
        <v>1093</v>
      </c>
    </row>
    <row r="39" spans="1:2" ht="15.75">
      <c r="A39" s="176"/>
      <c r="B39" s="44"/>
    </row>
    <row r="40" spans="1:2" ht="15.75">
      <c r="A40" s="176"/>
      <c r="B40" s="172" t="s">
        <v>372</v>
      </c>
    </row>
    <row r="41" spans="1:2" ht="15.75">
      <c r="A41" s="176"/>
      <c r="B41" s="44"/>
    </row>
    <row r="42" spans="1:2" ht="15.75">
      <c r="A42" s="176"/>
      <c r="B42" s="174" t="s">
        <v>206</v>
      </c>
    </row>
    <row r="43" spans="1:2" ht="15.75">
      <c r="A43" s="176"/>
      <c r="B43" s="44" t="s">
        <v>207</v>
      </c>
    </row>
    <row r="44" spans="1:2" ht="15.75">
      <c r="A44" s="176"/>
      <c r="B44" s="44" t="s">
        <v>208</v>
      </c>
    </row>
    <row r="45" spans="1:2" ht="15.75">
      <c r="A45" s="176"/>
      <c r="B45" s="44"/>
    </row>
    <row r="46" spans="1:2" ht="15.75">
      <c r="A46" s="176"/>
      <c r="B46" s="44" t="s">
        <v>209</v>
      </c>
    </row>
    <row r="47" spans="1:2" ht="15.75">
      <c r="A47" s="176"/>
      <c r="B47" s="44" t="s">
        <v>210</v>
      </c>
    </row>
    <row r="48" spans="1:2" ht="15.75">
      <c r="A48" s="176"/>
      <c r="B48" s="44"/>
    </row>
    <row r="49" spans="1:10" ht="15.75">
      <c r="A49" s="176"/>
      <c r="B49" s="44" t="s">
        <v>211</v>
      </c>
    </row>
    <row r="50" spans="1:10" ht="15.75">
      <c r="A50" s="175"/>
      <c r="B50" s="44" t="s">
        <v>212</v>
      </c>
    </row>
    <row r="51" spans="1:10" ht="15.75">
      <c r="A51" s="176"/>
      <c r="B51" s="44"/>
      <c r="D51" s="44" t="s">
        <v>213</v>
      </c>
      <c r="E51" s="44"/>
      <c r="F51" s="44"/>
      <c r="G51" s="44"/>
      <c r="H51" s="44"/>
      <c r="J51" s="44" t="s">
        <v>217</v>
      </c>
    </row>
    <row r="52" spans="1:10" ht="15.75">
      <c r="A52" s="176"/>
      <c r="B52" s="44"/>
      <c r="D52" s="44" t="s">
        <v>214</v>
      </c>
      <c r="E52" s="44"/>
      <c r="F52" s="44"/>
      <c r="G52" s="44"/>
      <c r="H52" s="44"/>
      <c r="J52" s="44" t="s">
        <v>218</v>
      </c>
    </row>
    <row r="53" spans="1:10" ht="15.75">
      <c r="A53" s="176"/>
      <c r="B53" s="44"/>
      <c r="D53" s="44" t="s">
        <v>215</v>
      </c>
      <c r="E53" s="44"/>
      <c r="F53" s="44"/>
      <c r="G53" s="44"/>
      <c r="H53" s="44"/>
      <c r="J53" s="44" t="s">
        <v>218</v>
      </c>
    </row>
    <row r="54" spans="1:10" ht="15.75">
      <c r="A54" s="176"/>
      <c r="B54" s="44"/>
      <c r="D54" s="44" t="s">
        <v>216</v>
      </c>
      <c r="E54" s="44"/>
      <c r="F54" s="44"/>
      <c r="G54" s="44"/>
      <c r="H54" s="44"/>
      <c r="J54" s="44" t="s">
        <v>219</v>
      </c>
    </row>
    <row r="55" spans="1:10" ht="15.75">
      <c r="A55" s="176"/>
      <c r="B55" s="44" t="s">
        <v>220</v>
      </c>
    </row>
    <row r="56" spans="1:10" ht="15.75">
      <c r="A56" s="176"/>
      <c r="B56" s="44"/>
    </row>
    <row r="57" spans="1:10" ht="15.75">
      <c r="A57" s="176"/>
      <c r="B57" s="44" t="s">
        <v>221</v>
      </c>
    </row>
    <row r="58" spans="1:10" ht="15.75">
      <c r="A58" s="176"/>
      <c r="B58" s="44"/>
    </row>
    <row r="59" spans="1:10" ht="15.75">
      <c r="A59" s="176"/>
      <c r="B59" s="172" t="s">
        <v>222</v>
      </c>
    </row>
    <row r="60" spans="1:10" ht="15.75">
      <c r="A60" s="176"/>
      <c r="B60" s="44"/>
    </row>
    <row r="61" spans="1:10" ht="15.75">
      <c r="A61" s="176"/>
      <c r="B61" s="44" t="s">
        <v>1094</v>
      </c>
    </row>
    <row r="62" spans="1:10" ht="15.75">
      <c r="A62" s="176"/>
      <c r="B62" s="44" t="s">
        <v>223</v>
      </c>
    </row>
    <row r="63" spans="1:10" ht="15.75">
      <c r="A63" s="176"/>
      <c r="B63" s="44"/>
    </row>
    <row r="64" spans="1:10" ht="15.75">
      <c r="A64" s="175"/>
      <c r="B64" s="44" t="s">
        <v>224</v>
      </c>
    </row>
    <row r="65" spans="1:10" ht="15.75">
      <c r="A65" s="176"/>
      <c r="B65" s="44"/>
      <c r="D65" s="44" t="s">
        <v>225</v>
      </c>
      <c r="E65" s="44"/>
      <c r="F65" s="44"/>
      <c r="G65" s="44"/>
      <c r="H65" s="44"/>
      <c r="J65" s="44" t="s">
        <v>229</v>
      </c>
    </row>
    <row r="66" spans="1:10" ht="15.75">
      <c r="A66" s="176"/>
      <c r="B66" s="44"/>
      <c r="D66" s="44" t="s">
        <v>226</v>
      </c>
      <c r="E66" s="44"/>
      <c r="F66" s="44"/>
      <c r="G66" s="44"/>
      <c r="H66" s="44"/>
      <c r="J66" s="44" t="s">
        <v>230</v>
      </c>
    </row>
    <row r="67" spans="1:10" ht="15.75">
      <c r="A67" s="176"/>
      <c r="B67" s="44"/>
      <c r="D67" s="44" t="s">
        <v>227</v>
      </c>
      <c r="E67" s="44"/>
      <c r="F67" s="44"/>
      <c r="G67" s="44"/>
      <c r="H67" s="44"/>
      <c r="J67" s="44" t="s">
        <v>231</v>
      </c>
    </row>
    <row r="68" spans="1:10" ht="15.75">
      <c r="A68" s="176"/>
      <c r="B68" s="44"/>
      <c r="D68" s="44" t="s">
        <v>228</v>
      </c>
      <c r="E68" s="44"/>
      <c r="F68" s="44"/>
      <c r="G68" s="44"/>
      <c r="H68" s="44"/>
      <c r="J68" s="44" t="s">
        <v>229</v>
      </c>
    </row>
    <row r="69" spans="1:10" ht="15.75">
      <c r="A69" s="176"/>
      <c r="B69" s="44"/>
      <c r="D69" s="44"/>
      <c r="E69" s="44"/>
      <c r="F69" s="44"/>
      <c r="G69" s="44"/>
      <c r="H69" s="44"/>
      <c r="J69" s="44"/>
    </row>
    <row r="70" spans="1:10" ht="15.75">
      <c r="A70" s="176"/>
      <c r="B70" s="44" t="s">
        <v>232</v>
      </c>
      <c r="D70" s="44"/>
      <c r="E70" s="44"/>
      <c r="F70" s="44"/>
      <c r="G70" s="44"/>
      <c r="H70" s="44"/>
      <c r="J70" s="44"/>
    </row>
    <row r="71" spans="1:10" ht="15.75">
      <c r="A71" s="176"/>
      <c r="B71" s="44"/>
      <c r="D71" s="44"/>
      <c r="E71" s="44"/>
      <c r="F71" s="44"/>
      <c r="G71" s="44"/>
      <c r="H71" s="44"/>
      <c r="J71" s="44"/>
    </row>
    <row r="72" spans="1:10" ht="15.75">
      <c r="A72" s="176"/>
      <c r="B72" s="172" t="s">
        <v>233</v>
      </c>
      <c r="D72" s="44"/>
      <c r="E72" s="44"/>
      <c r="F72" s="44"/>
      <c r="G72" s="44"/>
      <c r="H72" s="44"/>
      <c r="J72" s="44"/>
    </row>
    <row r="73" spans="1:10" ht="15.75">
      <c r="A73" s="176"/>
      <c r="B73" s="44"/>
      <c r="D73" s="44"/>
      <c r="E73" s="44"/>
      <c r="F73" s="44"/>
      <c r="G73" s="44"/>
      <c r="H73" s="44"/>
      <c r="J73" s="44"/>
    </row>
    <row r="74" spans="1:10" ht="15.75">
      <c r="A74" s="176"/>
      <c r="B74" s="44" t="s">
        <v>1096</v>
      </c>
      <c r="D74" s="44"/>
      <c r="E74" s="44"/>
      <c r="F74" s="44"/>
      <c r="G74" s="44"/>
      <c r="H74" s="44"/>
      <c r="J74" s="44"/>
    </row>
    <row r="75" spans="1:10" ht="15.75">
      <c r="A75" s="176"/>
      <c r="B75" t="s">
        <v>1097</v>
      </c>
      <c r="D75" s="44"/>
      <c r="E75" s="44"/>
      <c r="F75" s="44"/>
      <c r="G75" s="44"/>
      <c r="H75" s="44"/>
      <c r="J75" s="44"/>
    </row>
    <row r="76" spans="1:10" ht="15.75">
      <c r="A76" s="176"/>
      <c r="B76" s="44" t="s">
        <v>1095</v>
      </c>
      <c r="D76" s="44"/>
      <c r="E76" s="44"/>
      <c r="F76" s="44"/>
      <c r="G76" s="44"/>
      <c r="H76" s="44"/>
      <c r="J76" s="44"/>
    </row>
    <row r="77" spans="1:10" ht="15.75">
      <c r="A77" s="176"/>
      <c r="B77" s="44"/>
      <c r="D77" s="44"/>
      <c r="E77" s="44"/>
      <c r="F77" s="44"/>
      <c r="G77" s="44"/>
      <c r="H77" s="44"/>
      <c r="J77" s="44"/>
    </row>
    <row r="78" spans="1:10" ht="15.75">
      <c r="A78" s="176"/>
      <c r="B78" s="44"/>
      <c r="D78" s="44"/>
      <c r="E78" s="44"/>
      <c r="F78" s="44"/>
      <c r="G78" s="44"/>
      <c r="H78" s="44"/>
      <c r="J78" s="44"/>
    </row>
    <row r="79" spans="1:10" ht="15.75">
      <c r="A79" s="176"/>
      <c r="B79" s="44"/>
    </row>
    <row r="80" spans="1:10" ht="15.75">
      <c r="A80" s="176"/>
      <c r="B80" s="44"/>
    </row>
    <row r="81" spans="1:2" ht="15.75">
      <c r="A81" s="176"/>
      <c r="B81" s="44"/>
    </row>
    <row r="82" spans="1:2" ht="15.75">
      <c r="A82" s="176"/>
      <c r="B82" s="44"/>
    </row>
    <row r="83" spans="1:2" ht="15.75">
      <c r="A83" s="176"/>
      <c r="B83" s="44"/>
    </row>
    <row r="84" spans="1:2" ht="15.75">
      <c r="A84" s="176"/>
      <c r="B84" s="44"/>
    </row>
    <row r="85" spans="1:2" ht="15.75">
      <c r="A85" s="176"/>
      <c r="B85" s="44"/>
    </row>
    <row r="86" spans="1:2" ht="15.75">
      <c r="A86" s="176"/>
      <c r="B86" s="44"/>
    </row>
    <row r="87" spans="1:2" ht="15.75">
      <c r="A87" s="176"/>
      <c r="B87" s="44"/>
    </row>
    <row r="88" spans="1:2" ht="15.75">
      <c r="A88" s="176"/>
      <c r="B88" s="44"/>
    </row>
    <row r="89" spans="1:2" ht="15.75">
      <c r="A89" s="176"/>
      <c r="B89" s="44"/>
    </row>
    <row r="90" spans="1:2" ht="15.75">
      <c r="A90" s="176"/>
      <c r="B90" s="44"/>
    </row>
    <row r="91" spans="1:2" ht="15.75">
      <c r="A91" s="176"/>
      <c r="B91" s="44"/>
    </row>
    <row r="92" spans="1:2" ht="15.75">
      <c r="A92" s="176"/>
      <c r="B92" s="44"/>
    </row>
    <row r="93" spans="1:2" ht="15.75">
      <c r="A93" s="176"/>
      <c r="B93" s="44"/>
    </row>
    <row r="94" spans="1:2" ht="15.75">
      <c r="A94" s="176"/>
      <c r="B94" s="44"/>
    </row>
    <row r="95" spans="1:2" ht="15.75">
      <c r="A95" s="176"/>
      <c r="B95" s="44"/>
    </row>
    <row r="96" spans="1:2" ht="15.75">
      <c r="A96" s="176"/>
      <c r="B96" s="44"/>
    </row>
    <row r="97" spans="1:2" ht="15.75">
      <c r="A97" s="176"/>
      <c r="B97" s="44"/>
    </row>
    <row r="98" spans="1:2" ht="15.75">
      <c r="A98" s="176"/>
      <c r="B98" s="44"/>
    </row>
    <row r="99" spans="1:2" ht="15.75">
      <c r="A99" s="176"/>
      <c r="B99" s="44"/>
    </row>
    <row r="100" spans="1:2" ht="15.75">
      <c r="A100" s="176"/>
      <c r="B100" s="44"/>
    </row>
    <row r="101" spans="1:2" ht="15.75">
      <c r="A101" s="176"/>
      <c r="B101" s="44"/>
    </row>
    <row r="102" spans="1:2" ht="15.75">
      <c r="A102" s="176"/>
      <c r="B102" s="44"/>
    </row>
    <row r="103" spans="1:2" ht="15.75">
      <c r="A103" s="176"/>
      <c r="B103" s="44"/>
    </row>
    <row r="104" spans="1:2" ht="15.75">
      <c r="A104" s="176"/>
      <c r="B104" s="44"/>
    </row>
    <row r="105" spans="1:2" ht="15.75">
      <c r="A105" s="176"/>
      <c r="B105" s="44"/>
    </row>
    <row r="106" spans="1:2" ht="15.75">
      <c r="A106" s="176"/>
      <c r="B106" s="44"/>
    </row>
    <row r="107" spans="1:2" ht="15.75">
      <c r="A107" s="176"/>
      <c r="B107" s="44"/>
    </row>
    <row r="108" spans="1:2" ht="15.75">
      <c r="A108" s="176"/>
      <c r="B108" s="44"/>
    </row>
    <row r="109" spans="1:2" ht="15.75">
      <c r="A109" s="176"/>
      <c r="B109" s="44"/>
    </row>
    <row r="110" spans="1:2" ht="15.75">
      <c r="A110" s="176"/>
      <c r="B110" s="44"/>
    </row>
    <row r="111" spans="1:2" ht="15.75">
      <c r="A111" s="176"/>
      <c r="B111" s="44"/>
    </row>
    <row r="112" spans="1:2" ht="15.75">
      <c r="A112" s="176"/>
      <c r="B112" s="44"/>
    </row>
    <row r="113" spans="1:2" ht="15.75">
      <c r="A113" s="176"/>
      <c r="B113" s="44"/>
    </row>
    <row r="114" spans="1:2" ht="15.75">
      <c r="A114" s="176"/>
      <c r="B114" s="44"/>
    </row>
    <row r="115" spans="1:2" ht="15.75">
      <c r="A115" s="176"/>
      <c r="B115" s="44"/>
    </row>
    <row r="116" spans="1:2" ht="15.75">
      <c r="A116" s="176"/>
      <c r="B116" s="44"/>
    </row>
    <row r="117" spans="1:2" ht="15.75">
      <c r="A117" s="176"/>
      <c r="B117" s="44"/>
    </row>
    <row r="118" spans="1:2" ht="15.75">
      <c r="A118" s="176"/>
      <c r="B118" s="44"/>
    </row>
    <row r="119" spans="1:2" ht="15.75">
      <c r="A119" s="176"/>
      <c r="B119" s="44"/>
    </row>
    <row r="120" spans="1:2" ht="15.75">
      <c r="A120" s="176"/>
      <c r="B120" s="44"/>
    </row>
    <row r="121" spans="1:2" ht="15.75">
      <c r="A121" s="176"/>
      <c r="B121" s="44"/>
    </row>
    <row r="122" spans="1:2" ht="15.75">
      <c r="A122" s="176"/>
      <c r="B122" s="44"/>
    </row>
    <row r="123" spans="1:2" ht="15.75">
      <c r="A123" s="176"/>
      <c r="B123" s="44"/>
    </row>
    <row r="124" spans="1:2" ht="15.75">
      <c r="A124" s="176"/>
      <c r="B124" s="44"/>
    </row>
    <row r="125" spans="1:2" ht="15.75">
      <c r="A125" s="176"/>
      <c r="B125" s="44"/>
    </row>
    <row r="126" spans="1:2" ht="15.75">
      <c r="A126" s="176"/>
      <c r="B126" s="44"/>
    </row>
    <row r="127" spans="1:2" ht="15.75">
      <c r="A127" s="176"/>
      <c r="B127" s="44"/>
    </row>
    <row r="128" spans="1:2" ht="15.75">
      <c r="A128" s="176"/>
      <c r="B128" s="44"/>
    </row>
    <row r="129" spans="1:2" ht="15.75">
      <c r="A129" s="176"/>
      <c r="B129" s="44"/>
    </row>
    <row r="130" spans="1:2" ht="15.75">
      <c r="A130" s="176"/>
      <c r="B130" s="44"/>
    </row>
    <row r="131" spans="1:2" ht="15.75">
      <c r="A131" s="176"/>
      <c r="B131" s="44"/>
    </row>
    <row r="132" spans="1:2" ht="15.75">
      <c r="A132" s="176"/>
      <c r="B132" s="44"/>
    </row>
    <row r="133" spans="1:2" ht="15.75">
      <c r="A133" s="176"/>
      <c r="B133" s="44"/>
    </row>
    <row r="134" spans="1:2" ht="15.75">
      <c r="A134" s="176"/>
      <c r="B134" s="44"/>
    </row>
    <row r="135" spans="1:2" ht="15.75">
      <c r="A135" s="176"/>
      <c r="B135" s="44"/>
    </row>
    <row r="136" spans="1:2" ht="15.75">
      <c r="A136" s="176"/>
      <c r="B136" s="44"/>
    </row>
    <row r="137" spans="1:2" ht="15.75">
      <c r="A137" s="176"/>
      <c r="B137" s="44"/>
    </row>
    <row r="138" spans="1:2" ht="15.75">
      <c r="A138" s="176"/>
      <c r="B138" s="44"/>
    </row>
    <row r="139" spans="1:2" ht="15.75">
      <c r="A139" s="176"/>
      <c r="B139" s="44"/>
    </row>
    <row r="140" spans="1:2" ht="15.75">
      <c r="A140" s="176"/>
      <c r="B140" s="44"/>
    </row>
    <row r="141" spans="1:2" ht="15.75">
      <c r="A141" s="176"/>
      <c r="B141" s="44"/>
    </row>
    <row r="142" spans="1:2" ht="15.75">
      <c r="A142" s="176"/>
      <c r="B142" s="44"/>
    </row>
    <row r="143" spans="1:2" ht="15.75">
      <c r="A143" s="176"/>
      <c r="B143" s="44"/>
    </row>
    <row r="144" spans="1:2" ht="15.75">
      <c r="A144" s="176"/>
      <c r="B144" s="44"/>
    </row>
    <row r="145" spans="1:2" ht="15.75">
      <c r="A145" s="176"/>
      <c r="B145" s="44"/>
    </row>
    <row r="146" spans="1:2" ht="15.75">
      <c r="A146" s="176"/>
      <c r="B146" s="44"/>
    </row>
    <row r="147" spans="1:2" ht="15.75">
      <c r="A147" s="176"/>
      <c r="B147" s="44"/>
    </row>
    <row r="148" spans="1:2" ht="15.75">
      <c r="A148" s="176"/>
      <c r="B148" s="44"/>
    </row>
    <row r="149" spans="1:2" ht="15.75">
      <c r="A149" s="176"/>
      <c r="B149" s="44"/>
    </row>
    <row r="150" spans="1:2" ht="15.75">
      <c r="A150" s="176"/>
      <c r="B150" s="44"/>
    </row>
    <row r="151" spans="1:2" ht="15.75">
      <c r="A151" s="176"/>
      <c r="B151" s="44"/>
    </row>
    <row r="152" spans="1:2" ht="15.75">
      <c r="A152" s="176"/>
      <c r="B152" s="44"/>
    </row>
    <row r="153" spans="1:2" ht="15.75">
      <c r="A153" s="176"/>
      <c r="B153" s="44"/>
    </row>
    <row r="154" spans="1:2" ht="15.75">
      <c r="A154" s="176"/>
      <c r="B154" s="44"/>
    </row>
    <row r="155" spans="1:2" ht="15.75">
      <c r="A155" s="176"/>
      <c r="B155" s="44"/>
    </row>
    <row r="156" spans="1:2" ht="15.75">
      <c r="A156" s="176"/>
      <c r="B156" s="44"/>
    </row>
    <row r="157" spans="1:2" ht="15.75">
      <c r="A157" s="176"/>
      <c r="B157" s="44"/>
    </row>
    <row r="158" spans="1:2" ht="15.75">
      <c r="A158" s="176"/>
      <c r="B158" s="44"/>
    </row>
    <row r="159" spans="1:2" ht="15.75">
      <c r="A159" s="176"/>
      <c r="B159" s="44"/>
    </row>
    <row r="160" spans="1:2" ht="15.75">
      <c r="A160" s="176"/>
      <c r="B160" s="44"/>
    </row>
    <row r="161" spans="1:2" ht="15.75">
      <c r="A161" s="176"/>
      <c r="B161" s="44"/>
    </row>
    <row r="162" spans="1:2" ht="15.75">
      <c r="A162" s="176"/>
      <c r="B162" s="44"/>
    </row>
    <row r="163" spans="1:2" ht="15.75">
      <c r="A163" s="176"/>
      <c r="B163" s="44"/>
    </row>
    <row r="164" spans="1:2" ht="15.75">
      <c r="A164" s="176"/>
      <c r="B164" s="44"/>
    </row>
    <row r="165" spans="1:2" ht="15.75">
      <c r="A165" s="176"/>
      <c r="B165" s="44"/>
    </row>
    <row r="166" spans="1:2" ht="15.75">
      <c r="A166" s="176"/>
      <c r="B166" s="44"/>
    </row>
    <row r="167" spans="1:2" ht="15.75">
      <c r="A167" s="176"/>
      <c r="B167" s="44"/>
    </row>
    <row r="168" spans="1:2" ht="15.75">
      <c r="A168" s="176"/>
      <c r="B168" s="44"/>
    </row>
    <row r="169" spans="1:2" ht="15.75">
      <c r="A169" s="176"/>
      <c r="B169" s="44"/>
    </row>
    <row r="170" spans="1:2" ht="15.75">
      <c r="A170" s="176"/>
      <c r="B170" s="44"/>
    </row>
    <row r="171" spans="1:2" ht="15.75">
      <c r="A171" s="176"/>
      <c r="B171" s="44"/>
    </row>
    <row r="172" spans="1:2" ht="15.75">
      <c r="A172" s="176"/>
      <c r="B172" s="44"/>
    </row>
    <row r="173" spans="1:2" ht="15.75">
      <c r="A173" s="176"/>
      <c r="B173" s="44"/>
    </row>
    <row r="174" spans="1:2" ht="15.75">
      <c r="A174" s="176"/>
      <c r="B174" s="44"/>
    </row>
    <row r="175" spans="1:2" ht="15.75">
      <c r="A175" s="176"/>
      <c r="B175" s="44"/>
    </row>
    <row r="176" spans="1:2" ht="15.75">
      <c r="A176" s="176"/>
      <c r="B176" s="44"/>
    </row>
    <row r="177" spans="1:2" ht="15.75">
      <c r="A177" s="176"/>
      <c r="B177" s="44"/>
    </row>
    <row r="178" spans="1:2" ht="15.75">
      <c r="A178" s="176"/>
      <c r="B178" s="44"/>
    </row>
    <row r="179" spans="1:2" ht="15.75">
      <c r="A179" s="176"/>
      <c r="B179" s="44"/>
    </row>
    <row r="180" spans="1:2" ht="15.75">
      <c r="B180" s="44"/>
    </row>
    <row r="181" spans="1:2" ht="15.75">
      <c r="B181" s="44"/>
    </row>
    <row r="182" spans="1:2" ht="15.75">
      <c r="B182" s="44"/>
    </row>
    <row r="183" spans="1:2" ht="15.75">
      <c r="B183" s="44"/>
    </row>
    <row r="184" spans="1:2" ht="15.75">
      <c r="B184" s="44"/>
    </row>
    <row r="185" spans="1:2" ht="15.75">
      <c r="B185" s="44"/>
    </row>
    <row r="186" spans="1:2" ht="15.75">
      <c r="B186" s="44"/>
    </row>
    <row r="187" spans="1:2" ht="15.75">
      <c r="B187" s="44"/>
    </row>
    <row r="188" spans="1:2" ht="15.75">
      <c r="B188" s="44"/>
    </row>
    <row r="189" spans="1:2" ht="15.75">
      <c r="B189" s="44"/>
    </row>
    <row r="190" spans="1:2" ht="15.75">
      <c r="B190" s="44"/>
    </row>
    <row r="191" spans="1:2" ht="15.75">
      <c r="B191" s="44"/>
    </row>
    <row r="192" spans="1:2" ht="15.75">
      <c r="B192" s="44"/>
    </row>
    <row r="193" spans="2:2" ht="15.75">
      <c r="B193" s="44"/>
    </row>
    <row r="194" spans="2:2" ht="15.75">
      <c r="B194" s="44"/>
    </row>
    <row r="195" spans="2:2" ht="15.75">
      <c r="B195" s="44"/>
    </row>
    <row r="196" spans="2:2" ht="15.75">
      <c r="B196" s="44"/>
    </row>
    <row r="197" spans="2:2" ht="15.75">
      <c r="B197" s="44"/>
    </row>
    <row r="198" spans="2:2" ht="15.75">
      <c r="B198" s="44"/>
    </row>
    <row r="199" spans="2:2" ht="15.75">
      <c r="B199" s="44"/>
    </row>
    <row r="200" spans="2:2" ht="15.75">
      <c r="B200" s="44"/>
    </row>
    <row r="201" spans="2:2" ht="15.75">
      <c r="B201" s="44"/>
    </row>
    <row r="202" spans="2:2" ht="15.75">
      <c r="B202" s="44"/>
    </row>
    <row r="203" spans="2:2" ht="15.75">
      <c r="B203" s="44"/>
    </row>
    <row r="204" spans="2:2" ht="15.75">
      <c r="B204" s="44"/>
    </row>
    <row r="205" spans="2:2" ht="15.75">
      <c r="B205" s="44"/>
    </row>
    <row r="206" spans="2:2" ht="15.75">
      <c r="B206" s="44"/>
    </row>
    <row r="207" spans="2:2" ht="15.75">
      <c r="B207" s="44"/>
    </row>
    <row r="208" spans="2:2" ht="15.75">
      <c r="B208" s="44"/>
    </row>
    <row r="209" spans="2:2" ht="15.75">
      <c r="B209" s="44"/>
    </row>
    <row r="210" spans="2:2" ht="15.75">
      <c r="B210" s="44"/>
    </row>
    <row r="211" spans="2:2" ht="15.75">
      <c r="B211" s="44"/>
    </row>
    <row r="212" spans="2:2" ht="15.75">
      <c r="B212" s="44"/>
    </row>
    <row r="213" spans="2:2" ht="15.75">
      <c r="B213" s="44"/>
    </row>
    <row r="214" spans="2:2" ht="15.75">
      <c r="B214" s="44"/>
    </row>
    <row r="215" spans="2:2" ht="15.75">
      <c r="B215" s="44"/>
    </row>
    <row r="216" spans="2:2" ht="15.75">
      <c r="B216" s="44"/>
    </row>
    <row r="217" spans="2:2" ht="15.75">
      <c r="B217" s="44"/>
    </row>
    <row r="218" spans="2:2" ht="15.75">
      <c r="B218" s="44"/>
    </row>
    <row r="219" spans="2:2" ht="15.75">
      <c r="B219" s="44"/>
    </row>
    <row r="220" spans="2:2" ht="15.75">
      <c r="B220" s="44"/>
    </row>
    <row r="221" spans="2:2" ht="15.75">
      <c r="B221" s="44"/>
    </row>
    <row r="222" spans="2:2" ht="15.75">
      <c r="B222" s="44"/>
    </row>
    <row r="223" spans="2:2" ht="15.75">
      <c r="B223" s="44"/>
    </row>
    <row r="224" spans="2:2" ht="15.75">
      <c r="B224" s="44"/>
    </row>
    <row r="225" spans="2:2" ht="15.75">
      <c r="B225" s="44"/>
    </row>
    <row r="226" spans="2:2" ht="15.75">
      <c r="B226" s="44"/>
    </row>
    <row r="227" spans="2:2" ht="15.75">
      <c r="B227" s="44"/>
    </row>
    <row r="228" spans="2:2" ht="15.75">
      <c r="B228" s="44"/>
    </row>
    <row r="229" spans="2:2" ht="15.75">
      <c r="B229" s="44"/>
    </row>
    <row r="230" spans="2:2" ht="15.75">
      <c r="B230" s="44"/>
    </row>
  </sheetData>
  <pageMargins left="0.70866141732283472" right="0.70866141732283472" top="0.74803149606299213" bottom="0.74803149606299213" header="0.31496062992125984" footer="0.31496062992125984"/>
  <pageSetup paperSize="9" scale="61" orientation="portrait" horizontalDpi="1200" verticalDpi="1200"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view="pageBreakPreview" topLeftCell="A34" zoomScale="60" zoomScaleNormal="100" workbookViewId="0">
      <selection activeCell="F65" sqref="F65"/>
    </sheetView>
  </sheetViews>
  <sheetFormatPr defaultRowHeight="15"/>
  <cols>
    <col min="1" max="1" width="4.140625" customWidth="1"/>
    <col min="5" max="5" width="10.28515625" customWidth="1"/>
    <col min="7" max="7" width="13" customWidth="1"/>
    <col min="14" max="14" width="10.140625" customWidth="1"/>
  </cols>
  <sheetData>
    <row r="1" spans="1:15" ht="19.5">
      <c r="A1" s="145" t="s">
        <v>986</v>
      </c>
    </row>
    <row r="2" spans="1:15">
      <c r="A2" s="167" t="s">
        <v>129</v>
      </c>
    </row>
    <row r="3" spans="1:15" ht="15.75" thickBot="1">
      <c r="A3" s="170"/>
      <c r="B3" s="170"/>
      <c r="C3" s="170"/>
      <c r="D3" s="170"/>
      <c r="E3" s="170"/>
      <c r="F3" s="170"/>
      <c r="G3" s="170"/>
      <c r="H3" s="170"/>
      <c r="I3" s="170"/>
      <c r="J3" s="170"/>
      <c r="K3" s="170"/>
      <c r="L3" s="170"/>
      <c r="M3" s="170"/>
      <c r="N3" s="170"/>
      <c r="O3" s="170"/>
    </row>
    <row r="4" spans="1:15">
      <c r="A4" s="675"/>
      <c r="B4" s="675"/>
      <c r="C4" s="675"/>
      <c r="D4" s="675"/>
      <c r="E4" s="675"/>
      <c r="F4" s="675"/>
      <c r="G4" s="675"/>
      <c r="H4" s="675"/>
      <c r="I4" s="675"/>
      <c r="J4" s="675"/>
      <c r="K4" s="675"/>
      <c r="L4" s="675"/>
      <c r="M4" s="675"/>
      <c r="N4" s="675"/>
      <c r="O4" s="675"/>
    </row>
    <row r="5" spans="1:15" ht="15.75">
      <c r="A5" s="175" t="s">
        <v>234</v>
      </c>
      <c r="B5" s="172" t="s">
        <v>73</v>
      </c>
    </row>
    <row r="6" spans="1:15" ht="15.75">
      <c r="A6" s="176"/>
      <c r="B6" s="44"/>
    </row>
    <row r="7" spans="1:15" ht="15.75">
      <c r="A7" s="176"/>
      <c r="B7" s="179" t="s">
        <v>1098</v>
      </c>
    </row>
    <row r="8" spans="1:15" ht="15.75">
      <c r="A8" s="176"/>
      <c r="B8" s="44" t="s">
        <v>235</v>
      </c>
    </row>
    <row r="9" spans="1:15" ht="15.75">
      <c r="A9" s="176"/>
      <c r="B9" s="44"/>
    </row>
    <row r="10" spans="1:15" ht="15.75">
      <c r="A10" s="176"/>
      <c r="B10" s="44" t="s">
        <v>236</v>
      </c>
    </row>
    <row r="11" spans="1:15" ht="15.75">
      <c r="A11" s="176"/>
      <c r="B11" s="44"/>
    </row>
    <row r="12" spans="1:15" ht="15.75">
      <c r="A12" s="175" t="s">
        <v>237</v>
      </c>
      <c r="B12" s="172" t="s">
        <v>238</v>
      </c>
    </row>
    <row r="13" spans="1:15" ht="15.75">
      <c r="A13" s="175"/>
      <c r="B13" s="44"/>
    </row>
    <row r="14" spans="1:15" ht="15.75">
      <c r="A14" s="176"/>
      <c r="B14" s="44" t="s">
        <v>239</v>
      </c>
    </row>
    <row r="15" spans="1:15" ht="15.75">
      <c r="A15" s="176"/>
      <c r="B15" s="44" t="s">
        <v>240</v>
      </c>
    </row>
    <row r="16" spans="1:15" ht="15.75">
      <c r="A16" s="176"/>
      <c r="B16" s="44"/>
    </row>
    <row r="17" spans="1:2" ht="15.75">
      <c r="A17" s="176"/>
      <c r="B17" s="44" t="s">
        <v>998</v>
      </c>
    </row>
    <row r="18" spans="1:2" ht="15.75">
      <c r="A18" s="176"/>
      <c r="B18" s="44" t="s">
        <v>1000</v>
      </c>
    </row>
    <row r="19" spans="1:2" ht="15.75">
      <c r="A19" s="176"/>
      <c r="B19" s="44"/>
    </row>
    <row r="20" spans="1:2" ht="15.75">
      <c r="A20" s="176"/>
      <c r="B20" s="44" t="s">
        <v>1001</v>
      </c>
    </row>
    <row r="21" spans="1:2" ht="15.75">
      <c r="A21" s="176"/>
      <c r="B21" s="44"/>
    </row>
    <row r="22" spans="1:2" ht="15.75">
      <c r="A22" s="176"/>
      <c r="B22" s="44" t="s">
        <v>999</v>
      </c>
    </row>
    <row r="23" spans="1:2" ht="15.75">
      <c r="A23" s="176"/>
      <c r="B23" s="44"/>
    </row>
    <row r="24" spans="1:2" ht="15.75">
      <c r="A24" s="176"/>
      <c r="B24" s="44" t="s">
        <v>241</v>
      </c>
    </row>
    <row r="25" spans="1:2" ht="15.75">
      <c r="A25" s="176"/>
      <c r="B25" s="44"/>
    </row>
    <row r="26" spans="1:2" ht="15.75">
      <c r="A26" s="175" t="s">
        <v>243</v>
      </c>
      <c r="B26" s="172" t="s">
        <v>242</v>
      </c>
    </row>
    <row r="27" spans="1:2" ht="15.75">
      <c r="A27" s="176"/>
      <c r="B27" s="44"/>
    </row>
    <row r="28" spans="1:2" ht="15.75">
      <c r="A28" s="176"/>
      <c r="B28" s="44" t="s">
        <v>244</v>
      </c>
    </row>
    <row r="29" spans="1:2" ht="15.75">
      <c r="A29" s="176"/>
      <c r="B29" s="44"/>
    </row>
    <row r="30" spans="1:2" ht="15.75">
      <c r="A30" s="177"/>
      <c r="B30" s="44" t="s">
        <v>1099</v>
      </c>
    </row>
    <row r="31" spans="1:2" ht="15.75">
      <c r="A31" s="176"/>
      <c r="B31" s="44" t="s">
        <v>1100</v>
      </c>
    </row>
    <row r="32" spans="1:2" ht="15.75">
      <c r="A32" s="176"/>
      <c r="B32" s="44"/>
    </row>
    <row r="33" spans="1:2" ht="15.75">
      <c r="A33" s="177" t="s">
        <v>245</v>
      </c>
      <c r="B33" s="172" t="s">
        <v>74</v>
      </c>
    </row>
    <row r="34" spans="1:2" ht="15.75">
      <c r="A34" s="176"/>
      <c r="B34" s="44"/>
    </row>
    <row r="35" spans="1:2" ht="15.75">
      <c r="A35" s="176"/>
      <c r="B35" s="44" t="s">
        <v>1101</v>
      </c>
    </row>
    <row r="36" spans="1:2" ht="15.75">
      <c r="A36" s="176"/>
      <c r="B36" s="44"/>
    </row>
    <row r="37" spans="1:2" ht="15.75">
      <c r="A37" s="176"/>
      <c r="B37" s="174" t="s">
        <v>1102</v>
      </c>
    </row>
    <row r="38" spans="1:2" ht="15.75">
      <c r="A38" s="176"/>
      <c r="B38" s="44"/>
    </row>
    <row r="39" spans="1:2" ht="15.75">
      <c r="A39" s="176"/>
      <c r="B39" s="44" t="s">
        <v>1103</v>
      </c>
    </row>
    <row r="40" spans="1:2" ht="15.75">
      <c r="A40" s="176"/>
      <c r="B40" s="44"/>
    </row>
    <row r="41" spans="1:2" ht="15.75">
      <c r="A41" s="175" t="s">
        <v>246</v>
      </c>
      <c r="B41" s="172" t="s">
        <v>78</v>
      </c>
    </row>
    <row r="42" spans="1:2" ht="15.75">
      <c r="A42" s="176"/>
      <c r="B42" s="44"/>
    </row>
    <row r="43" spans="1:2" ht="15.75">
      <c r="A43" s="176"/>
      <c r="B43" s="44" t="s">
        <v>247</v>
      </c>
    </row>
    <row r="44" spans="1:2" ht="15.75">
      <c r="A44" s="176"/>
      <c r="B44" s="44"/>
    </row>
    <row r="45" spans="1:2" ht="15.75">
      <c r="A45" s="175" t="s">
        <v>248</v>
      </c>
      <c r="B45" s="172" t="s">
        <v>80</v>
      </c>
    </row>
    <row r="46" spans="1:2" ht="15.75">
      <c r="A46" s="176"/>
      <c r="B46" s="44"/>
    </row>
    <row r="47" spans="1:2" ht="15.75">
      <c r="A47" s="176"/>
      <c r="B47" s="44" t="s">
        <v>249</v>
      </c>
    </row>
    <row r="48" spans="1:2" ht="15.75">
      <c r="A48" s="176"/>
      <c r="B48" s="44" t="s">
        <v>250</v>
      </c>
    </row>
    <row r="49" spans="1:2" ht="15.75">
      <c r="A49" s="176"/>
      <c r="B49" s="44"/>
    </row>
    <row r="50" spans="1:2" ht="15.75">
      <c r="A50" s="176"/>
      <c r="B50" s="44" t="s">
        <v>251</v>
      </c>
    </row>
    <row r="51" spans="1:2" ht="15.75">
      <c r="A51" s="175"/>
      <c r="B51" s="44" t="s">
        <v>252</v>
      </c>
    </row>
    <row r="52" spans="1:2" ht="15.75">
      <c r="A52" s="176"/>
      <c r="B52" s="44"/>
    </row>
    <row r="53" spans="1:2" ht="15.75">
      <c r="A53" s="175" t="s">
        <v>253</v>
      </c>
      <c r="B53" s="172" t="s">
        <v>261</v>
      </c>
    </row>
    <row r="54" spans="1:2" ht="15.75">
      <c r="A54" s="169"/>
      <c r="B54" s="44"/>
    </row>
    <row r="55" spans="1:2" ht="15.75">
      <c r="A55" s="178"/>
      <c r="B55" s="44" t="s">
        <v>262</v>
      </c>
    </row>
    <row r="56" spans="1:2" ht="15.75">
      <c r="A56" s="178"/>
      <c r="B56" s="44" t="s">
        <v>263</v>
      </c>
    </row>
    <row r="57" spans="1:2" ht="15.75">
      <c r="A57" s="178"/>
      <c r="B57" s="44" t="s">
        <v>264</v>
      </c>
    </row>
    <row r="58" spans="1:2" ht="15.75">
      <c r="A58" s="169"/>
      <c r="B58" s="44" t="s">
        <v>265</v>
      </c>
    </row>
    <row r="59" spans="1:2" ht="15.75">
      <c r="A59" s="178"/>
      <c r="B59" s="44"/>
    </row>
    <row r="60" spans="1:2" ht="15.75">
      <c r="A60" s="178"/>
      <c r="B60" s="44" t="s">
        <v>266</v>
      </c>
    </row>
    <row r="61" spans="1:2" ht="15.75">
      <c r="A61" s="169"/>
      <c r="B61" s="44" t="s">
        <v>267</v>
      </c>
    </row>
    <row r="62" spans="1:2" ht="15.75">
      <c r="A62" s="178"/>
      <c r="B62" s="44"/>
    </row>
    <row r="63" spans="1:2" ht="15.75">
      <c r="A63" s="178"/>
      <c r="B63" s="44" t="s">
        <v>268</v>
      </c>
    </row>
    <row r="64" spans="1:2" ht="15.75">
      <c r="A64" s="178"/>
      <c r="B64" s="44" t="s">
        <v>269</v>
      </c>
    </row>
    <row r="65" spans="1:2" ht="15.75">
      <c r="A65" s="178"/>
      <c r="B65" s="44" t="s">
        <v>270</v>
      </c>
    </row>
    <row r="66" spans="1:2" ht="15.75">
      <c r="A66" s="178"/>
      <c r="B66" s="179" t="s">
        <v>271</v>
      </c>
    </row>
    <row r="67" spans="1:2" ht="15.75">
      <c r="A67" s="178"/>
      <c r="B67" s="44"/>
    </row>
    <row r="68" spans="1:2" ht="15.75">
      <c r="A68" s="178"/>
      <c r="B68" s="44" t="s">
        <v>272</v>
      </c>
    </row>
    <row r="69" spans="1:2" ht="15.75">
      <c r="A69" s="178"/>
      <c r="B69" s="44" t="s">
        <v>273</v>
      </c>
    </row>
    <row r="70" spans="1:2" ht="15.75">
      <c r="A70" s="178"/>
      <c r="B70" s="44"/>
    </row>
    <row r="71" spans="1:2" ht="15.75">
      <c r="A71" s="169"/>
      <c r="B71" s="44" t="s">
        <v>274</v>
      </c>
    </row>
    <row r="72" spans="1:2" ht="15.75">
      <c r="A72" s="176"/>
      <c r="B72" s="44"/>
    </row>
    <row r="73" spans="1:2" ht="15.75">
      <c r="A73" s="176"/>
      <c r="B73" s="44"/>
    </row>
    <row r="74" spans="1:2" ht="15.75">
      <c r="A74" s="176"/>
      <c r="B74" s="44"/>
    </row>
    <row r="75" spans="1:2" ht="15.75">
      <c r="A75" s="176"/>
      <c r="B75" s="44"/>
    </row>
    <row r="76" spans="1:2" ht="15.75">
      <c r="A76" s="176"/>
      <c r="B76" s="44"/>
    </row>
    <row r="77" spans="1:2" ht="15.75">
      <c r="A77" s="176"/>
      <c r="B77" s="44"/>
    </row>
    <row r="78" spans="1:2" ht="15.75">
      <c r="A78" s="176"/>
      <c r="B78" s="44"/>
    </row>
    <row r="79" spans="1:2" ht="15.75">
      <c r="A79" s="176"/>
      <c r="B79" s="44"/>
    </row>
    <row r="80" spans="1:2" ht="15.75">
      <c r="A80" s="176"/>
      <c r="B80" s="44"/>
    </row>
    <row r="81" spans="1:2" ht="15.75">
      <c r="A81" s="176"/>
      <c r="B81" s="44"/>
    </row>
    <row r="82" spans="1:2" ht="15.75">
      <c r="A82" s="176"/>
      <c r="B82" s="44"/>
    </row>
    <row r="83" spans="1:2" ht="15.75">
      <c r="A83" s="176"/>
      <c r="B83" s="44"/>
    </row>
    <row r="84" spans="1:2" ht="15.75">
      <c r="A84" s="176"/>
      <c r="B84" s="44"/>
    </row>
    <row r="85" spans="1:2" ht="15.75">
      <c r="A85" s="176"/>
      <c r="B85" s="44"/>
    </row>
    <row r="86" spans="1:2" ht="15.75">
      <c r="A86" s="176"/>
      <c r="B86" s="44"/>
    </row>
    <row r="87" spans="1:2" ht="15.75">
      <c r="A87" s="176"/>
      <c r="B87" s="44"/>
    </row>
    <row r="88" spans="1:2" ht="15.75">
      <c r="A88" s="176"/>
      <c r="B88" s="44"/>
    </row>
    <row r="89" spans="1:2" ht="15.75">
      <c r="A89" s="176"/>
      <c r="B89" s="44"/>
    </row>
    <row r="90" spans="1:2" ht="15.75">
      <c r="A90" s="176"/>
      <c r="B90" s="44"/>
    </row>
    <row r="91" spans="1:2" ht="15.75">
      <c r="A91" s="176"/>
      <c r="B91" s="44"/>
    </row>
    <row r="92" spans="1:2" ht="15.75">
      <c r="A92" s="176"/>
      <c r="B92" s="44"/>
    </row>
    <row r="93" spans="1:2" ht="15.75">
      <c r="A93" s="176"/>
      <c r="B93" s="44"/>
    </row>
    <row r="94" spans="1:2" ht="15.75">
      <c r="A94" s="176"/>
      <c r="B94" s="44"/>
    </row>
    <row r="95" spans="1:2" ht="15.75">
      <c r="A95" s="176"/>
      <c r="B95" s="44"/>
    </row>
    <row r="96" spans="1:2" ht="15.75">
      <c r="A96" s="176"/>
      <c r="B96" s="44"/>
    </row>
    <row r="97" spans="1:2" ht="15.75">
      <c r="A97" s="176"/>
      <c r="B97" s="44"/>
    </row>
    <row r="98" spans="1:2" ht="15.75">
      <c r="A98" s="176"/>
      <c r="B98" s="44"/>
    </row>
    <row r="99" spans="1:2" ht="15.75">
      <c r="A99" s="176"/>
      <c r="B99" s="44"/>
    </row>
    <row r="100" spans="1:2" ht="15.75">
      <c r="A100" s="176"/>
      <c r="B100" s="44"/>
    </row>
    <row r="101" spans="1:2" ht="15.75">
      <c r="A101" s="176"/>
      <c r="B101" s="44"/>
    </row>
    <row r="102" spans="1:2" ht="15.75">
      <c r="A102" s="176"/>
      <c r="B102" s="44"/>
    </row>
    <row r="103" spans="1:2" ht="15.75">
      <c r="A103" s="176"/>
      <c r="B103" s="44"/>
    </row>
    <row r="104" spans="1:2" ht="15.75">
      <c r="A104" s="176"/>
      <c r="B104" s="44"/>
    </row>
    <row r="105" spans="1:2" ht="15.75">
      <c r="A105" s="176"/>
      <c r="B105" s="44"/>
    </row>
    <row r="106" spans="1:2" ht="15.75">
      <c r="A106" s="176"/>
      <c r="B106" s="44"/>
    </row>
    <row r="107" spans="1:2" ht="15.75">
      <c r="A107" s="176"/>
      <c r="B107" s="44"/>
    </row>
    <row r="108" spans="1:2" ht="15.75">
      <c r="A108" s="176"/>
      <c r="B108" s="44"/>
    </row>
    <row r="109" spans="1:2" ht="15.75">
      <c r="A109" s="176"/>
      <c r="B109" s="44"/>
    </row>
    <row r="110" spans="1:2" ht="15.75">
      <c r="A110" s="176"/>
      <c r="B110" s="44"/>
    </row>
    <row r="111" spans="1:2" ht="15.75">
      <c r="A111" s="176"/>
      <c r="B111" s="44"/>
    </row>
    <row r="112" spans="1:2" ht="15.75">
      <c r="A112" s="176"/>
      <c r="B112" s="44"/>
    </row>
    <row r="113" spans="1:2" ht="15.75">
      <c r="A113" s="176"/>
      <c r="B113" s="44"/>
    </row>
    <row r="114" spans="1:2" ht="15.75">
      <c r="A114" s="176"/>
      <c r="B114" s="44"/>
    </row>
    <row r="115" spans="1:2" ht="15.75">
      <c r="A115" s="176"/>
      <c r="B115" s="44"/>
    </row>
    <row r="116" spans="1:2" ht="15.75">
      <c r="A116" s="176"/>
      <c r="B116" s="44"/>
    </row>
    <row r="117" spans="1:2" ht="15.75">
      <c r="A117" s="176"/>
      <c r="B117" s="44"/>
    </row>
    <row r="118" spans="1:2" ht="15.75">
      <c r="A118" s="176"/>
      <c r="B118" s="44"/>
    </row>
    <row r="119" spans="1:2" ht="15.75">
      <c r="A119" s="176"/>
      <c r="B119" s="44"/>
    </row>
    <row r="120" spans="1:2" ht="15.75">
      <c r="A120" s="176"/>
      <c r="B120" s="44"/>
    </row>
    <row r="121" spans="1:2" ht="15.75">
      <c r="A121" s="176"/>
      <c r="B121" s="44"/>
    </row>
    <row r="122" spans="1:2" ht="15.75">
      <c r="A122" s="176"/>
      <c r="B122" s="44"/>
    </row>
    <row r="123" spans="1:2" ht="15.75">
      <c r="A123" s="176"/>
      <c r="B123" s="44"/>
    </row>
    <row r="124" spans="1:2" ht="15.75">
      <c r="A124" s="176"/>
      <c r="B124" s="44"/>
    </row>
    <row r="125" spans="1:2" ht="15.75">
      <c r="A125" s="176"/>
      <c r="B125" s="44"/>
    </row>
    <row r="126" spans="1:2" ht="15.75">
      <c r="A126" s="176"/>
      <c r="B126" s="44"/>
    </row>
    <row r="127" spans="1:2" ht="15.75">
      <c r="A127" s="176"/>
      <c r="B127" s="44"/>
    </row>
    <row r="128" spans="1:2" ht="15.75">
      <c r="A128" s="176"/>
      <c r="B128" s="44"/>
    </row>
    <row r="129" spans="1:2" ht="15.75">
      <c r="A129" s="176"/>
      <c r="B129" s="44"/>
    </row>
    <row r="130" spans="1:2" ht="15.75">
      <c r="A130" s="176"/>
      <c r="B130" s="44"/>
    </row>
    <row r="131" spans="1:2" ht="15.75">
      <c r="A131" s="176"/>
      <c r="B131" s="44"/>
    </row>
    <row r="132" spans="1:2" ht="15.75">
      <c r="A132" s="176"/>
      <c r="B132" s="44"/>
    </row>
    <row r="133" spans="1:2" ht="15.75">
      <c r="A133" s="176"/>
      <c r="B133" s="44"/>
    </row>
    <row r="134" spans="1:2" ht="15.75">
      <c r="A134" s="176"/>
      <c r="B134" s="44"/>
    </row>
    <row r="135" spans="1:2" ht="15.75">
      <c r="A135" s="176"/>
      <c r="B135" s="44"/>
    </row>
    <row r="136" spans="1:2" ht="15.75">
      <c r="A136" s="176"/>
      <c r="B136" s="44"/>
    </row>
    <row r="137" spans="1:2" ht="15.75">
      <c r="A137" s="176"/>
      <c r="B137" s="44"/>
    </row>
    <row r="138" spans="1:2" ht="15.75">
      <c r="A138" s="176"/>
      <c r="B138" s="44"/>
    </row>
    <row r="139" spans="1:2" ht="15.75">
      <c r="A139" s="176"/>
      <c r="B139" s="44"/>
    </row>
    <row r="140" spans="1:2" ht="15.75">
      <c r="A140" s="176"/>
      <c r="B140" s="44"/>
    </row>
    <row r="141" spans="1:2" ht="15.75">
      <c r="A141" s="176"/>
      <c r="B141" s="44"/>
    </row>
    <row r="142" spans="1:2" ht="15.75">
      <c r="A142" s="176"/>
      <c r="B142" s="44"/>
    </row>
    <row r="143" spans="1:2" ht="15.75">
      <c r="A143" s="176"/>
      <c r="B143" s="44"/>
    </row>
    <row r="144" spans="1:2" ht="15.75">
      <c r="A144" s="176"/>
      <c r="B144" s="44"/>
    </row>
    <row r="145" spans="1:2" ht="15.75">
      <c r="A145" s="176"/>
      <c r="B145" s="44"/>
    </row>
    <row r="146" spans="1:2" ht="15.75">
      <c r="A146" s="176"/>
      <c r="B146" s="44"/>
    </row>
    <row r="147" spans="1:2" ht="15.75">
      <c r="A147" s="176"/>
      <c r="B147" s="44"/>
    </row>
    <row r="148" spans="1:2" ht="15.75">
      <c r="A148" s="176"/>
      <c r="B148" s="44"/>
    </row>
    <row r="149" spans="1:2" ht="15.75">
      <c r="A149" s="176"/>
      <c r="B149" s="44"/>
    </row>
    <row r="150" spans="1:2" ht="15.75">
      <c r="A150" s="176"/>
      <c r="B150" s="44"/>
    </row>
    <row r="151" spans="1:2" ht="15.75">
      <c r="A151" s="176"/>
      <c r="B151" s="44"/>
    </row>
    <row r="152" spans="1:2" ht="15.75">
      <c r="A152" s="176"/>
      <c r="B152" s="44"/>
    </row>
    <row r="153" spans="1:2" ht="15.75">
      <c r="A153" s="176"/>
      <c r="B153" s="44"/>
    </row>
    <row r="154" spans="1:2" ht="15.75">
      <c r="A154" s="176"/>
      <c r="B154" s="44"/>
    </row>
    <row r="155" spans="1:2" ht="15.75">
      <c r="A155" s="176"/>
      <c r="B155" s="44"/>
    </row>
    <row r="156" spans="1:2" ht="15.75">
      <c r="A156" s="176"/>
      <c r="B156" s="44"/>
    </row>
    <row r="157" spans="1:2" ht="15.75">
      <c r="A157" s="176"/>
      <c r="B157" s="44"/>
    </row>
    <row r="158" spans="1:2" ht="15.75">
      <c r="A158" s="176"/>
      <c r="B158" s="44"/>
    </row>
    <row r="159" spans="1:2" ht="15.75">
      <c r="A159" s="176"/>
      <c r="B159" s="44"/>
    </row>
    <row r="160" spans="1:2" ht="15.75">
      <c r="A160" s="176"/>
      <c r="B160" s="44"/>
    </row>
    <row r="161" spans="1:2" ht="15.75">
      <c r="A161" s="176"/>
      <c r="B161" s="44"/>
    </row>
    <row r="162" spans="1:2" ht="15.75">
      <c r="A162" s="176"/>
      <c r="B162" s="44"/>
    </row>
    <row r="163" spans="1:2" ht="15.75">
      <c r="A163" s="176"/>
      <c r="B163" s="44"/>
    </row>
    <row r="164" spans="1:2" ht="15.75">
      <c r="A164" s="176"/>
      <c r="B164" s="44"/>
    </row>
    <row r="165" spans="1:2" ht="15.75">
      <c r="A165" s="176"/>
      <c r="B165" s="44"/>
    </row>
    <row r="166" spans="1:2" ht="15.75">
      <c r="A166" s="176"/>
      <c r="B166" s="44"/>
    </row>
    <row r="167" spans="1:2" ht="15.75">
      <c r="A167" s="176"/>
      <c r="B167" s="44"/>
    </row>
    <row r="168" spans="1:2" ht="15.75">
      <c r="A168" s="176"/>
      <c r="B168" s="44"/>
    </row>
    <row r="169" spans="1:2" ht="15.75">
      <c r="A169" s="176"/>
      <c r="B169" s="44"/>
    </row>
    <row r="170" spans="1:2" ht="15.75">
      <c r="A170" s="176"/>
      <c r="B170" s="44"/>
    </row>
    <row r="171" spans="1:2" ht="15.75">
      <c r="A171" s="176"/>
      <c r="B171" s="44"/>
    </row>
    <row r="172" spans="1:2" ht="15.75">
      <c r="A172" s="176"/>
      <c r="B172" s="44"/>
    </row>
    <row r="173" spans="1:2" ht="15.75">
      <c r="B173" s="44"/>
    </row>
    <row r="174" spans="1:2" ht="15.75">
      <c r="B174" s="44"/>
    </row>
    <row r="175" spans="1:2" ht="15.75">
      <c r="B175" s="44"/>
    </row>
    <row r="176" spans="1:2" ht="15.75">
      <c r="B176" s="44"/>
    </row>
    <row r="177" spans="2:2" ht="15.75">
      <c r="B177" s="44"/>
    </row>
    <row r="178" spans="2:2" ht="15.75">
      <c r="B178" s="44"/>
    </row>
    <row r="179" spans="2:2" ht="15.75">
      <c r="B179" s="44"/>
    </row>
    <row r="180" spans="2:2" ht="15.75">
      <c r="B180" s="44"/>
    </row>
    <row r="181" spans="2:2" ht="15.75">
      <c r="B181" s="44"/>
    </row>
    <row r="182" spans="2:2" ht="15.75">
      <c r="B182" s="44"/>
    </row>
    <row r="183" spans="2:2" ht="15.75">
      <c r="B183" s="44"/>
    </row>
    <row r="184" spans="2:2" ht="15.75">
      <c r="B184" s="44"/>
    </row>
    <row r="185" spans="2:2" ht="15.75">
      <c r="B185" s="44"/>
    </row>
    <row r="186" spans="2:2" ht="15.75">
      <c r="B186" s="44"/>
    </row>
    <row r="187" spans="2:2" ht="15.75">
      <c r="B187" s="44"/>
    </row>
    <row r="188" spans="2:2" ht="15.75">
      <c r="B188" s="44"/>
    </row>
    <row r="189" spans="2:2" ht="15.75">
      <c r="B189" s="44"/>
    </row>
    <row r="190" spans="2:2" ht="15.75">
      <c r="B190" s="44"/>
    </row>
    <row r="191" spans="2:2" ht="15.75">
      <c r="B191" s="44"/>
    </row>
    <row r="192" spans="2:2" ht="15.75">
      <c r="B192" s="44"/>
    </row>
    <row r="193" spans="2:2" ht="15.75">
      <c r="B193" s="44"/>
    </row>
    <row r="194" spans="2:2" ht="15.75">
      <c r="B194" s="44"/>
    </row>
    <row r="195" spans="2:2" ht="15.75">
      <c r="B195" s="44"/>
    </row>
    <row r="196" spans="2:2" ht="15.75">
      <c r="B196" s="44"/>
    </row>
    <row r="197" spans="2:2" ht="15.75">
      <c r="B197" s="44"/>
    </row>
    <row r="198" spans="2:2" ht="15.75">
      <c r="B198" s="44"/>
    </row>
    <row r="199" spans="2:2" ht="15.75">
      <c r="B199" s="44"/>
    </row>
    <row r="200" spans="2:2" ht="15.75">
      <c r="B200" s="44"/>
    </row>
    <row r="201" spans="2:2" ht="15.75">
      <c r="B201" s="44"/>
    </row>
    <row r="202" spans="2:2" ht="15.75">
      <c r="B202" s="44"/>
    </row>
    <row r="203" spans="2:2" ht="15.75">
      <c r="B203" s="44"/>
    </row>
    <row r="204" spans="2:2" ht="15.75">
      <c r="B204" s="44"/>
    </row>
    <row r="205" spans="2:2" ht="15.75">
      <c r="B205" s="44"/>
    </row>
    <row r="206" spans="2:2" ht="15.75">
      <c r="B206" s="44"/>
    </row>
    <row r="207" spans="2:2" ht="15.75">
      <c r="B207" s="44"/>
    </row>
    <row r="208" spans="2:2" ht="15.75">
      <c r="B208" s="44"/>
    </row>
    <row r="209" spans="2:2" ht="15.75">
      <c r="B209" s="44"/>
    </row>
    <row r="210" spans="2:2" ht="15.75">
      <c r="B210" s="44"/>
    </row>
    <row r="211" spans="2:2" ht="15.75">
      <c r="B211" s="44"/>
    </row>
    <row r="212" spans="2:2" ht="15.75">
      <c r="B212" s="44"/>
    </row>
    <row r="213" spans="2:2" ht="15.75">
      <c r="B213" s="44"/>
    </row>
    <row r="214" spans="2:2" ht="15.75">
      <c r="B214" s="44"/>
    </row>
    <row r="215" spans="2:2" ht="15.75">
      <c r="B215" s="44"/>
    </row>
    <row r="216" spans="2:2" ht="15.75">
      <c r="B216" s="44"/>
    </row>
    <row r="217" spans="2:2" ht="15.75">
      <c r="B217" s="44"/>
    </row>
    <row r="218" spans="2:2" ht="15.75">
      <c r="B218" s="44"/>
    </row>
    <row r="219" spans="2:2" ht="15.75">
      <c r="B219" s="44"/>
    </row>
    <row r="220" spans="2:2" ht="15.75">
      <c r="B220" s="44"/>
    </row>
    <row r="221" spans="2:2" ht="15.75">
      <c r="B221" s="44"/>
    </row>
    <row r="222" spans="2:2" ht="15.75">
      <c r="B222" s="44"/>
    </row>
    <row r="223" spans="2:2" ht="15.75">
      <c r="B223" s="44"/>
    </row>
  </sheetData>
  <pageMargins left="0.70866141732283472" right="0.70866141732283472" top="0.74803149606299213" bottom="0.74803149606299213" header="0.31496062992125984" footer="0.31496062992125984"/>
  <pageSetup paperSize="9" scale="62" orientation="portrait" horizontalDpi="1200" verticalDpi="120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32</vt:i4>
      </vt:variant>
    </vt:vector>
  </HeadingPairs>
  <TitlesOfParts>
    <vt:vector size="68" baseType="lpstr">
      <vt:lpstr>Introduction</vt:lpstr>
      <vt:lpstr>CSCI</vt:lpstr>
      <vt:lpstr>CSCR</vt:lpstr>
      <vt:lpstr>Balance Sheet</vt:lpstr>
      <vt:lpstr>CSCF</vt:lpstr>
      <vt:lpstr>Accounting policies 1</vt:lpstr>
      <vt:lpstr>Accounting policies 2</vt:lpstr>
      <vt:lpstr>Accounting policies 3</vt:lpstr>
      <vt:lpstr>Accounting policies 4</vt:lpstr>
      <vt:lpstr>Accounting policies 5</vt:lpstr>
      <vt:lpstr>Note 1 -6</vt:lpstr>
      <vt:lpstr>Note 7</vt:lpstr>
      <vt:lpstr>Note 7 cont.</vt:lpstr>
      <vt:lpstr>Notes 8 -11</vt:lpstr>
      <vt:lpstr>Note 12</vt:lpstr>
      <vt:lpstr>Note 13</vt:lpstr>
      <vt:lpstr>Note 14</vt:lpstr>
      <vt:lpstr>Note 15-16</vt:lpstr>
      <vt:lpstr>Notes 17-18</vt:lpstr>
      <vt:lpstr>Note 19 - 22</vt:lpstr>
      <vt:lpstr>Notes 23 &amp; 24</vt:lpstr>
      <vt:lpstr>Note 25</vt:lpstr>
      <vt:lpstr>Note 26 &amp; 27</vt:lpstr>
      <vt:lpstr>Notes 28 - 31</vt:lpstr>
      <vt:lpstr>Note 32 &amp; 33</vt:lpstr>
      <vt:lpstr>Pension note</vt:lpstr>
      <vt:lpstr>Pension note (cont'd)</vt:lpstr>
      <vt:lpstr>Pension note (cont'd 1.1)</vt:lpstr>
      <vt:lpstr>Pension note (cont'd 2)</vt:lpstr>
      <vt:lpstr>Pension note (cont'd 3)</vt:lpstr>
      <vt:lpstr>Pension note (cont'd 4)</vt:lpstr>
      <vt:lpstr>Pension note (cont'd 5)</vt:lpstr>
      <vt:lpstr>Pension note (cont'd 6)</vt:lpstr>
      <vt:lpstr>Note 36 (simple)</vt:lpstr>
      <vt:lpstr>Note 36 (detailed)</vt:lpstr>
      <vt:lpstr>Note 36 (detailed) cont'd</vt:lpstr>
      <vt:lpstr>'Accounting policies 1'!Print_Area</vt:lpstr>
      <vt:lpstr>'Accounting policies 2'!Print_Area</vt:lpstr>
      <vt:lpstr>'Accounting policies 3'!Print_Area</vt:lpstr>
      <vt:lpstr>'Accounting policies 4'!Print_Area</vt:lpstr>
      <vt:lpstr>'Accounting policies 5'!Print_Area</vt:lpstr>
      <vt:lpstr>'Balance Sheet'!Print_Area</vt:lpstr>
      <vt:lpstr>CSCF!Print_Area</vt:lpstr>
      <vt:lpstr>CSCI!Print_Area</vt:lpstr>
      <vt:lpstr>CSCR!Print_Area</vt:lpstr>
      <vt:lpstr>'Note 12'!Print_Area</vt:lpstr>
      <vt:lpstr>'Note 13'!Print_Area</vt:lpstr>
      <vt:lpstr>'Note 15-16'!Print_Area</vt:lpstr>
      <vt:lpstr>'Note 19 - 22'!Print_Area</vt:lpstr>
      <vt:lpstr>'Note 25'!Print_Area</vt:lpstr>
      <vt:lpstr>'Note 26 &amp; 27'!Print_Area</vt:lpstr>
      <vt:lpstr>'Note 32 &amp; 33'!Print_Area</vt:lpstr>
      <vt:lpstr>'Note 36 (detailed)'!Print_Area</vt:lpstr>
      <vt:lpstr>'Note 36 (simple)'!Print_Area</vt:lpstr>
      <vt:lpstr>'Note 7'!Print_Area</vt:lpstr>
      <vt:lpstr>'Note 7 cont.'!Print_Area</vt:lpstr>
      <vt:lpstr>'Notes 17-18'!Print_Area</vt:lpstr>
      <vt:lpstr>'Notes 23 &amp; 24'!Print_Area</vt:lpstr>
      <vt:lpstr>'Notes 28 - 31'!Print_Area</vt:lpstr>
      <vt:lpstr>'Notes 8 -11'!Print_Area</vt:lpstr>
      <vt:lpstr>'Pension note'!Print_Area</vt:lpstr>
      <vt:lpstr>'Pension note (cont''d 1.1)'!Print_Area</vt:lpstr>
      <vt:lpstr>'Pension note (cont''d 2)'!Print_Area</vt:lpstr>
      <vt:lpstr>'Pension note (cont''d 3)'!Print_Area</vt:lpstr>
      <vt:lpstr>'Pension note (cont''d 4)'!Print_Area</vt:lpstr>
      <vt:lpstr>'Pension note (cont''d 5)'!Print_Area</vt:lpstr>
      <vt:lpstr>'Pension note (cont''d 6)'!Print_Area</vt:lpstr>
      <vt:lpstr>'Pension note (cont''d)'!Print_Area</vt:lpstr>
    </vt:vector>
  </TitlesOfParts>
  <Company>KPMG UK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Statement of Recommended Practice for Further and Higher Education (SORP) model financial statements</dc:title>
  <dc:creator/>
  <cp:lastModifiedBy>Giulio Romano</cp:lastModifiedBy>
  <cp:lastPrinted>2016-03-31T05:42:04Z</cp:lastPrinted>
  <dcterms:created xsi:type="dcterms:W3CDTF">2014-07-19T04:46:12Z</dcterms:created>
  <dcterms:modified xsi:type="dcterms:W3CDTF">2016-12-13T15:48:18Z</dcterms:modified>
</cp:coreProperties>
</file>